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110" windowWidth="19440" windowHeight="4050" tabRatio="553" firstSheet="1" activeTab="8"/>
  </bookViews>
  <sheets>
    <sheet name="31.03.2013" sheetId="1" r:id="rId1"/>
    <sheet name="УК" sheetId="2" r:id="rId2"/>
    <sheet name="30.04.2013" sheetId="3" r:id="rId3"/>
    <sheet name="31.05.2013" sheetId="4" r:id="rId4"/>
    <sheet name="30.06.2013" sheetId="5" r:id="rId5"/>
    <sheet name="31.07.2013" sheetId="6" r:id="rId6"/>
    <sheet name="31.08.2013" sheetId="7" r:id="rId7"/>
    <sheet name="30.09.2013" sheetId="8" r:id="rId8"/>
    <sheet name="31.10.2013" sheetId="9" r:id="rId9"/>
    <sheet name="Лист1" sheetId="10" r:id="rId10"/>
  </sheets>
  <definedNames>
    <definedName name="_xlnm._FilterDatabase" localSheetId="2" hidden="1">'30.04.2013'!$A$4:$W$56</definedName>
    <definedName name="_xlnm._FilterDatabase" localSheetId="4" hidden="1">'30.06.2013'!$A$4:$W$55</definedName>
    <definedName name="_xlnm._FilterDatabase" localSheetId="7" hidden="1">'30.09.2013'!$A$1:$V$56</definedName>
    <definedName name="_xlnm._FilterDatabase" localSheetId="0" hidden="1">'31.03.2013'!$A$4:$V$56</definedName>
    <definedName name="_xlnm._FilterDatabase" localSheetId="3" hidden="1">'31.05.2013'!$A$4:$V$56</definedName>
    <definedName name="_xlnm._FilterDatabase" localSheetId="5" hidden="1">'31.07.2013'!$A$4:$V$59</definedName>
    <definedName name="_xlnm._FilterDatabase" localSheetId="6" hidden="1">'31.08.2013'!$A$4:$V$59</definedName>
    <definedName name="_xlnm._FilterDatabase" localSheetId="8" hidden="1">'31.10.2013'!$A$1:$V$58</definedName>
  </definedNames>
  <calcPr calcId="145621" refMode="R1C1"/>
</workbook>
</file>

<file path=xl/calcChain.xml><?xml version="1.0" encoding="utf-8"?>
<calcChain xmlns="http://schemas.openxmlformats.org/spreadsheetml/2006/main">
  <c r="G36" i="9" l="1"/>
  <c r="I36" i="9" s="1"/>
  <c r="G31" i="9"/>
  <c r="T59" i="9" l="1"/>
  <c r="Q56" i="9"/>
  <c r="R56" i="9" s="1"/>
  <c r="V56" i="9" s="1"/>
  <c r="Q57" i="9"/>
  <c r="R57" i="9" s="1"/>
  <c r="V57" i="9" s="1"/>
  <c r="Q58" i="9"/>
  <c r="R58" i="9" s="1"/>
  <c r="V58" i="9" s="1"/>
  <c r="P56" i="9"/>
  <c r="P57" i="9"/>
  <c r="P58" i="9"/>
  <c r="G56" i="9"/>
  <c r="I56" i="9" s="1"/>
  <c r="L56" i="9" s="1"/>
  <c r="U56" i="9" s="1"/>
  <c r="G57" i="9"/>
  <c r="I57" i="9" s="1"/>
  <c r="L57" i="9" s="1"/>
  <c r="U57" i="9" s="1"/>
  <c r="G58" i="9"/>
  <c r="I58" i="9" s="1"/>
  <c r="L58" i="9" s="1"/>
  <c r="U58" i="9" s="1"/>
  <c r="M52" i="9"/>
  <c r="M49" i="9"/>
  <c r="M46" i="9"/>
  <c r="M44" i="9"/>
  <c r="M42" i="9"/>
  <c r="M34" i="9"/>
  <c r="M27" i="9"/>
  <c r="M20" i="9"/>
  <c r="M17" i="9"/>
  <c r="M16" i="9"/>
  <c r="M15" i="9"/>
  <c r="M11" i="9"/>
  <c r="M8" i="9"/>
  <c r="M6" i="9"/>
  <c r="M5" i="9"/>
  <c r="M2" i="9"/>
  <c r="J44" i="9"/>
  <c r="J27" i="9"/>
  <c r="S27" i="9" s="1"/>
  <c r="J2" i="9"/>
  <c r="J34" i="9"/>
  <c r="J46" i="9"/>
  <c r="J8" i="9"/>
  <c r="J49" i="9"/>
  <c r="J52" i="9"/>
  <c r="J42" i="9"/>
  <c r="S42" i="9" s="1"/>
  <c r="J20" i="9"/>
  <c r="J32" i="9"/>
  <c r="J17" i="9"/>
  <c r="J16" i="9"/>
  <c r="J15" i="9"/>
  <c r="S15" i="9" s="1"/>
  <c r="J13" i="9"/>
  <c r="S13" i="9" s="1"/>
  <c r="J11" i="9"/>
  <c r="J6" i="9"/>
  <c r="J5" i="9"/>
  <c r="S55" i="9"/>
  <c r="O55" i="9"/>
  <c r="Q55" i="9" s="1"/>
  <c r="R55" i="9" s="1"/>
  <c r="V55" i="9" s="1"/>
  <c r="G55" i="9"/>
  <c r="I55" i="9" s="1"/>
  <c r="L55" i="9" s="1"/>
  <c r="U55" i="9" s="1"/>
  <c r="N54" i="9"/>
  <c r="O54" i="9" s="1"/>
  <c r="P54" i="9" s="1"/>
  <c r="S53" i="9"/>
  <c r="N53" i="9"/>
  <c r="O53" i="9" s="1"/>
  <c r="G53" i="9"/>
  <c r="I53" i="9" s="1"/>
  <c r="L53" i="9" s="1"/>
  <c r="U53" i="9" s="1"/>
  <c r="N52" i="9"/>
  <c r="O52" i="9" s="1"/>
  <c r="G52" i="9"/>
  <c r="I52" i="9" s="1"/>
  <c r="S51" i="9"/>
  <c r="O51" i="9"/>
  <c r="P51" i="9" s="1"/>
  <c r="N51" i="9"/>
  <c r="G51" i="9"/>
  <c r="I51" i="9" s="1"/>
  <c r="L51" i="9" s="1"/>
  <c r="U51" i="9" s="1"/>
  <c r="S50" i="9"/>
  <c r="O50" i="9"/>
  <c r="Q50" i="9" s="1"/>
  <c r="R50" i="9" s="1"/>
  <c r="V50" i="9" s="1"/>
  <c r="G50" i="9"/>
  <c r="I50" i="9" s="1"/>
  <c r="L50" i="9" s="1"/>
  <c r="U50" i="9" s="1"/>
  <c r="N49" i="9"/>
  <c r="O49" i="9" s="1"/>
  <c r="G49" i="9"/>
  <c r="I49" i="9" s="1"/>
  <c r="L49" i="9" s="1"/>
  <c r="U49" i="9" s="1"/>
  <c r="S48" i="9"/>
  <c r="N48" i="9"/>
  <c r="O48" i="9" s="1"/>
  <c r="P48" i="9" s="1"/>
  <c r="G48" i="9"/>
  <c r="I48" i="9" s="1"/>
  <c r="L48" i="9" s="1"/>
  <c r="U48" i="9" s="1"/>
  <c r="S47" i="9"/>
  <c r="O47" i="9"/>
  <c r="Q47" i="9" s="1"/>
  <c r="R47" i="9" s="1"/>
  <c r="V47" i="9" s="1"/>
  <c r="G47" i="9"/>
  <c r="I47" i="9" s="1"/>
  <c r="L47" i="9" s="1"/>
  <c r="U47" i="9" s="1"/>
  <c r="O46" i="9"/>
  <c r="P46" i="9" s="1"/>
  <c r="G46" i="9"/>
  <c r="I46" i="9" s="1"/>
  <c r="O45" i="9"/>
  <c r="G45" i="9"/>
  <c r="I45" i="9" s="1"/>
  <c r="L45" i="9" s="1"/>
  <c r="U45" i="9" s="1"/>
  <c r="O44" i="9"/>
  <c r="Q44" i="9" s="1"/>
  <c r="G44" i="9"/>
  <c r="I44" i="9" s="1"/>
  <c r="S43" i="9"/>
  <c r="N43" i="9"/>
  <c r="O43" i="9" s="1"/>
  <c r="G43" i="9"/>
  <c r="I43" i="9" s="1"/>
  <c r="L43" i="9" s="1"/>
  <c r="U43" i="9" s="1"/>
  <c r="N42" i="9"/>
  <c r="O42" i="9" s="1"/>
  <c r="P42" i="9" s="1"/>
  <c r="G42" i="9"/>
  <c r="I42" i="9" s="1"/>
  <c r="L42" i="9" s="1"/>
  <c r="U42" i="9" s="1"/>
  <c r="S41" i="9"/>
  <c r="N41" i="9"/>
  <c r="O41" i="9" s="1"/>
  <c r="Q41" i="9" s="1"/>
  <c r="R41" i="9" s="1"/>
  <c r="V41" i="9" s="1"/>
  <c r="G41" i="9"/>
  <c r="I41" i="9" s="1"/>
  <c r="L41" i="9" s="1"/>
  <c r="U41" i="9" s="1"/>
  <c r="O40" i="9"/>
  <c r="P40" i="9" s="1"/>
  <c r="M40" i="9"/>
  <c r="J40" i="9"/>
  <c r="G40" i="9"/>
  <c r="I40" i="9" s="1"/>
  <c r="L40" i="9" s="1"/>
  <c r="U40" i="9" s="1"/>
  <c r="N39" i="9"/>
  <c r="O39" i="9" s="1"/>
  <c r="J39" i="9"/>
  <c r="S39" i="9" s="1"/>
  <c r="G39" i="9"/>
  <c r="I39" i="9" s="1"/>
  <c r="O38" i="9"/>
  <c r="Q38" i="9" s="1"/>
  <c r="R38" i="9" s="1"/>
  <c r="V38" i="9" s="1"/>
  <c r="G38" i="9"/>
  <c r="I38" i="9" s="1"/>
  <c r="L38" i="9" s="1"/>
  <c r="U38" i="9" s="1"/>
  <c r="V37" i="9"/>
  <c r="U37" i="9"/>
  <c r="S37" i="9"/>
  <c r="N37" i="9"/>
  <c r="O37" i="9" s="1"/>
  <c r="P37" i="9" s="1"/>
  <c r="S35" i="9"/>
  <c r="N35" i="9"/>
  <c r="O35" i="9" s="1"/>
  <c r="Q35" i="9" s="1"/>
  <c r="R35" i="9" s="1"/>
  <c r="V35" i="9" s="1"/>
  <c r="G35" i="9"/>
  <c r="I35" i="9" s="1"/>
  <c r="L35" i="9" s="1"/>
  <c r="U35" i="9" s="1"/>
  <c r="O34" i="9"/>
  <c r="P34" i="9" s="1"/>
  <c r="G34" i="9"/>
  <c r="I34" i="9" s="1"/>
  <c r="N33" i="9"/>
  <c r="O33" i="9" s="1"/>
  <c r="Q33" i="9" s="1"/>
  <c r="M33" i="9"/>
  <c r="J33" i="9"/>
  <c r="S33" i="9" s="1"/>
  <c r="G33" i="9"/>
  <c r="I33" i="9" s="1"/>
  <c r="S32" i="9"/>
  <c r="N32" i="9"/>
  <c r="O32" i="9" s="1"/>
  <c r="Q32" i="9" s="1"/>
  <c r="R32" i="9" s="1"/>
  <c r="V32" i="9" s="1"/>
  <c r="G32" i="9"/>
  <c r="I32" i="9" s="1"/>
  <c r="S29" i="9"/>
  <c r="N29" i="9"/>
  <c r="O29" i="9" s="1"/>
  <c r="G29" i="9"/>
  <c r="I29" i="9" s="1"/>
  <c r="L29" i="9" s="1"/>
  <c r="U29" i="9" s="1"/>
  <c r="S28" i="9"/>
  <c r="N28" i="9"/>
  <c r="O28" i="9" s="1"/>
  <c r="G28" i="9"/>
  <c r="I28" i="9" s="1"/>
  <c r="L28" i="9" s="1"/>
  <c r="U28" i="9" s="1"/>
  <c r="N27" i="9"/>
  <c r="O27" i="9" s="1"/>
  <c r="Q27" i="9" s="1"/>
  <c r="R27" i="9" s="1"/>
  <c r="V27" i="9" s="1"/>
  <c r="G27" i="9"/>
  <c r="I27" i="9" s="1"/>
  <c r="O26" i="9"/>
  <c r="Q26" i="9" s="1"/>
  <c r="M26" i="9"/>
  <c r="J26" i="9"/>
  <c r="G26" i="9"/>
  <c r="I26" i="9" s="1"/>
  <c r="L26" i="9" s="1"/>
  <c r="U26" i="9" s="1"/>
  <c r="S25" i="9"/>
  <c r="N25" i="9"/>
  <c r="O25" i="9" s="1"/>
  <c r="Q25" i="9" s="1"/>
  <c r="R25" i="9" s="1"/>
  <c r="V25" i="9" s="1"/>
  <c r="G25" i="9"/>
  <c r="I25" i="9" s="1"/>
  <c r="L25" i="9" s="1"/>
  <c r="U25" i="9" s="1"/>
  <c r="S24" i="9"/>
  <c r="N24" i="9"/>
  <c r="O24" i="9" s="1"/>
  <c r="G24" i="9"/>
  <c r="I24" i="9" s="1"/>
  <c r="L24" i="9" s="1"/>
  <c r="U24" i="9" s="1"/>
  <c r="S23" i="9"/>
  <c r="N23" i="9"/>
  <c r="O23" i="9" s="1"/>
  <c r="G23" i="9"/>
  <c r="I23" i="9" s="1"/>
  <c r="L23" i="9" s="1"/>
  <c r="U23" i="9" s="1"/>
  <c r="N22" i="9"/>
  <c r="O22" i="9" s="1"/>
  <c r="P22" i="9" s="1"/>
  <c r="M22" i="9"/>
  <c r="J22" i="9"/>
  <c r="S22" i="9" s="1"/>
  <c r="G22" i="9"/>
  <c r="I22" i="9" s="1"/>
  <c r="S21" i="9"/>
  <c r="O20" i="9"/>
  <c r="Q20" i="9" s="1"/>
  <c r="R20" i="9" s="1"/>
  <c r="V20" i="9" s="1"/>
  <c r="G20" i="9"/>
  <c r="I20" i="9" s="1"/>
  <c r="N19" i="9"/>
  <c r="O19" i="9" s="1"/>
  <c r="Q19" i="9" s="1"/>
  <c r="M19" i="9"/>
  <c r="J19" i="9"/>
  <c r="S19" i="9" s="1"/>
  <c r="G19" i="9"/>
  <c r="I19" i="9" s="1"/>
  <c r="S18" i="9"/>
  <c r="N18" i="9"/>
  <c r="O18" i="9" s="1"/>
  <c r="G18" i="9"/>
  <c r="I18" i="9" s="1"/>
  <c r="L18" i="9" s="1"/>
  <c r="U18" i="9" s="1"/>
  <c r="O17" i="9"/>
  <c r="Q17" i="9" s="1"/>
  <c r="G17" i="9"/>
  <c r="I17" i="9" s="1"/>
  <c r="O16" i="9"/>
  <c r="P16" i="9" s="1"/>
  <c r="G16" i="9"/>
  <c r="I16" i="9" s="1"/>
  <c r="N15" i="9"/>
  <c r="O15" i="9" s="1"/>
  <c r="G15" i="9"/>
  <c r="I15" i="9" s="1"/>
  <c r="O14" i="9"/>
  <c r="Q14" i="9" s="1"/>
  <c r="M14" i="9"/>
  <c r="J14" i="9"/>
  <c r="G14" i="9"/>
  <c r="I14" i="9" s="1"/>
  <c r="O13" i="9"/>
  <c r="P13" i="9" s="1"/>
  <c r="G13" i="9"/>
  <c r="I13" i="9" s="1"/>
  <c r="L13" i="9" s="1"/>
  <c r="U13" i="9" s="1"/>
  <c r="S12" i="9"/>
  <c r="N12" i="9"/>
  <c r="O12" i="9" s="1"/>
  <c r="G12" i="9"/>
  <c r="I12" i="9" s="1"/>
  <c r="L12" i="9" s="1"/>
  <c r="U12" i="9" s="1"/>
  <c r="S11" i="9"/>
  <c r="O11" i="9"/>
  <c r="G11" i="9"/>
  <c r="I11" i="9" s="1"/>
  <c r="O10" i="9"/>
  <c r="G10" i="9"/>
  <c r="I10" i="9" s="1"/>
  <c r="L10" i="9" s="1"/>
  <c r="U10" i="9" s="1"/>
  <c r="N9" i="9"/>
  <c r="O9" i="9" s="1"/>
  <c r="J9" i="9"/>
  <c r="S9" i="9" s="1"/>
  <c r="G9" i="9"/>
  <c r="I9" i="9" s="1"/>
  <c r="L9" i="9" s="1"/>
  <c r="U9" i="9" s="1"/>
  <c r="O8" i="9"/>
  <c r="P8" i="9" s="1"/>
  <c r="G8" i="9"/>
  <c r="I8" i="9" s="1"/>
  <c r="V7" i="9"/>
  <c r="G7" i="9"/>
  <c r="I7" i="9" s="1"/>
  <c r="L7" i="9" s="1"/>
  <c r="U7" i="9" s="1"/>
  <c r="N6" i="9"/>
  <c r="O6" i="9" s="1"/>
  <c r="Q6" i="9" s="1"/>
  <c r="G6" i="9"/>
  <c r="I6" i="9" s="1"/>
  <c r="N5" i="9"/>
  <c r="O5" i="9" s="1"/>
  <c r="P5" i="9" s="1"/>
  <c r="G5" i="9"/>
  <c r="I5" i="9" s="1"/>
  <c r="V4" i="9"/>
  <c r="J4" i="9"/>
  <c r="G4" i="9"/>
  <c r="I4" i="9" s="1"/>
  <c r="S3" i="9"/>
  <c r="N3" i="9"/>
  <c r="O3" i="9" s="1"/>
  <c r="Q3" i="9" s="1"/>
  <c r="R3" i="9" s="1"/>
  <c r="V3" i="9" s="1"/>
  <c r="G3" i="9"/>
  <c r="I3" i="9" s="1"/>
  <c r="L3" i="9" s="1"/>
  <c r="U3" i="9" s="1"/>
  <c r="O2" i="9"/>
  <c r="P2" i="9" s="1"/>
  <c r="G2" i="9"/>
  <c r="I2" i="9" s="1"/>
  <c r="L2" i="9" s="1"/>
  <c r="L16" i="9" l="1"/>
  <c r="U16" i="9" s="1"/>
  <c r="L14" i="9"/>
  <c r="U14" i="9" s="1"/>
  <c r="L33" i="9"/>
  <c r="U33" i="9" s="1"/>
  <c r="L34" i="9"/>
  <c r="U34" i="9" s="1"/>
  <c r="S20" i="9"/>
  <c r="S49" i="9"/>
  <c r="R33" i="9"/>
  <c r="V33" i="9" s="1"/>
  <c r="L52" i="9"/>
  <c r="U52" i="9" s="1"/>
  <c r="S14" i="9"/>
  <c r="R19" i="9"/>
  <c r="V19" i="9" s="1"/>
  <c r="L44" i="9"/>
  <c r="U44" i="9" s="1"/>
  <c r="L46" i="9"/>
  <c r="U46" i="9" s="1"/>
  <c r="S52" i="9"/>
  <c r="S44" i="9"/>
  <c r="L15" i="9"/>
  <c r="U15" i="9" s="1"/>
  <c r="R17" i="9"/>
  <c r="V17" i="9" s="1"/>
  <c r="L19" i="9"/>
  <c r="U19" i="9" s="1"/>
  <c r="L20" i="9"/>
  <c r="U20" i="9" s="1"/>
  <c r="L22" i="9"/>
  <c r="U22" i="9" s="1"/>
  <c r="L39" i="9"/>
  <c r="U39" i="9" s="1"/>
  <c r="S40" i="9"/>
  <c r="R44" i="9"/>
  <c r="V44" i="9" s="1"/>
  <c r="S6" i="9"/>
  <c r="R6" i="9"/>
  <c r="V6" i="9" s="1"/>
  <c r="S5" i="9"/>
  <c r="L27" i="9"/>
  <c r="U27" i="9" s="1"/>
  <c r="L8" i="9"/>
  <c r="U8" i="9" s="1"/>
  <c r="L32" i="9"/>
  <c r="U32" i="9" s="1"/>
  <c r="L17" i="9"/>
  <c r="U17" i="9" s="1"/>
  <c r="L11" i="9"/>
  <c r="U11" i="9" s="1"/>
  <c r="L6" i="9"/>
  <c r="U6" i="9" s="1"/>
  <c r="L5" i="9"/>
  <c r="U5" i="9" s="1"/>
  <c r="Q2" i="9"/>
  <c r="R2" i="9" s="1"/>
  <c r="V2" i="9" s="1"/>
  <c r="P50" i="9"/>
  <c r="Q34" i="9"/>
  <c r="R34" i="9" s="1"/>
  <c r="V34" i="9" s="1"/>
  <c r="P17" i="9"/>
  <c r="Q22" i="9"/>
  <c r="R22" i="9" s="1"/>
  <c r="V22" i="9" s="1"/>
  <c r="P27" i="9"/>
  <c r="Q13" i="9"/>
  <c r="R13" i="9" s="1"/>
  <c r="V13" i="9" s="1"/>
  <c r="P26" i="9"/>
  <c r="P41" i="9"/>
  <c r="P6" i="9"/>
  <c r="Q8" i="9"/>
  <c r="R8" i="9" s="1"/>
  <c r="V8" i="9" s="1"/>
  <c r="P14" i="9"/>
  <c r="R26" i="9"/>
  <c r="V26" i="9" s="1"/>
  <c r="P47" i="9"/>
  <c r="Q51" i="9"/>
  <c r="R51" i="9" s="1"/>
  <c r="V51" i="9" s="1"/>
  <c r="Q39" i="9"/>
  <c r="R39" i="9" s="1"/>
  <c r="V39" i="9" s="1"/>
  <c r="P39" i="9"/>
  <c r="Q53" i="9"/>
  <c r="R53" i="9" s="1"/>
  <c r="V53" i="9" s="1"/>
  <c r="P53" i="9"/>
  <c r="R14" i="9"/>
  <c r="V14" i="9" s="1"/>
  <c r="Q40" i="9"/>
  <c r="R40" i="9" s="1"/>
  <c r="V40" i="9" s="1"/>
  <c r="P44" i="9"/>
  <c r="Q46" i="9"/>
  <c r="R46" i="9" s="1"/>
  <c r="V46" i="9" s="1"/>
  <c r="Q48" i="9"/>
  <c r="R48" i="9" s="1"/>
  <c r="V48" i="9" s="1"/>
  <c r="P19" i="9"/>
  <c r="P20" i="9"/>
  <c r="P38" i="9"/>
  <c r="U2" i="9"/>
  <c r="Q24" i="9"/>
  <c r="R24" i="9" s="1"/>
  <c r="V24" i="9" s="1"/>
  <c r="P24" i="9"/>
  <c r="P28" i="9"/>
  <c r="Q28" i="9"/>
  <c r="R28" i="9" s="1"/>
  <c r="V28" i="9" s="1"/>
  <c r="Q43" i="9"/>
  <c r="R43" i="9" s="1"/>
  <c r="V43" i="9" s="1"/>
  <c r="P43" i="9"/>
  <c r="Q10" i="9"/>
  <c r="R10" i="9" s="1"/>
  <c r="V10" i="9" s="1"/>
  <c r="P10" i="9"/>
  <c r="P11" i="9"/>
  <c r="Q11" i="9"/>
  <c r="R11" i="9" s="1"/>
  <c r="V11" i="9" s="1"/>
  <c r="P23" i="9"/>
  <c r="Q23" i="9"/>
  <c r="R23" i="9" s="1"/>
  <c r="V23" i="9" s="1"/>
  <c r="P3" i="9"/>
  <c r="L4" i="9"/>
  <c r="U4" i="9" s="1"/>
  <c r="Q5" i="9"/>
  <c r="R5" i="9" s="1"/>
  <c r="V5" i="9" s="1"/>
  <c r="Q9" i="9"/>
  <c r="R9" i="9" s="1"/>
  <c r="V9" i="9" s="1"/>
  <c r="P9" i="9"/>
  <c r="P15" i="9"/>
  <c r="Q15" i="9"/>
  <c r="R15" i="9" s="1"/>
  <c r="V15" i="9" s="1"/>
  <c r="Q52" i="9"/>
  <c r="R52" i="9" s="1"/>
  <c r="V52" i="9" s="1"/>
  <c r="P52" i="9"/>
  <c r="Q12" i="9"/>
  <c r="R12" i="9" s="1"/>
  <c r="V12" i="9" s="1"/>
  <c r="P12" i="9"/>
  <c r="P18" i="9"/>
  <c r="Q18" i="9"/>
  <c r="R18" i="9" s="1"/>
  <c r="V18" i="9" s="1"/>
  <c r="Q29" i="9"/>
  <c r="R29" i="9" s="1"/>
  <c r="V29" i="9" s="1"/>
  <c r="P29" i="9"/>
  <c r="Q45" i="9"/>
  <c r="R45" i="9" s="1"/>
  <c r="V45" i="9" s="1"/>
  <c r="P45" i="9"/>
  <c r="P25" i="9"/>
  <c r="P32" i="9"/>
  <c r="P33" i="9"/>
  <c r="P35" i="9"/>
  <c r="Q42" i="9"/>
  <c r="R42" i="9" s="1"/>
  <c r="V42" i="9" s="1"/>
  <c r="Q49" i="9"/>
  <c r="R49" i="9" s="1"/>
  <c r="V49" i="9" s="1"/>
  <c r="P49" i="9"/>
  <c r="Q16" i="9"/>
  <c r="R16" i="9" s="1"/>
  <c r="V16" i="9" s="1"/>
  <c r="P55" i="9"/>
  <c r="V56" i="6"/>
  <c r="V57" i="6"/>
  <c r="V58" i="6"/>
  <c r="V59" i="6"/>
  <c r="U56" i="6"/>
  <c r="U57" i="6"/>
  <c r="U58" i="6"/>
  <c r="U59" i="6"/>
  <c r="V60" i="7"/>
  <c r="U60" i="7"/>
  <c r="V56" i="7"/>
  <c r="V57" i="7"/>
  <c r="V58" i="7"/>
  <c r="V59" i="7"/>
  <c r="U56" i="7"/>
  <c r="U57" i="7"/>
  <c r="U58" i="7"/>
  <c r="U59" i="7"/>
  <c r="S11" i="8"/>
  <c r="S12" i="8"/>
  <c r="S13" i="8"/>
  <c r="S15" i="8"/>
  <c r="S18" i="8"/>
  <c r="S20" i="8"/>
  <c r="S21" i="8"/>
  <c r="S23" i="8"/>
  <c r="S24" i="8"/>
  <c r="S25" i="8"/>
  <c r="S28" i="8"/>
  <c r="S29" i="8"/>
  <c r="S30" i="8"/>
  <c r="S33" i="8"/>
  <c r="S36" i="8"/>
  <c r="S37" i="8"/>
  <c r="S41" i="8"/>
  <c r="S42" i="8"/>
  <c r="S43" i="8"/>
  <c r="S44" i="8"/>
  <c r="S47" i="8"/>
  <c r="S48" i="8"/>
  <c r="S49" i="8"/>
  <c r="S50" i="8"/>
  <c r="S51" i="8"/>
  <c r="S52" i="8"/>
  <c r="S53" i="8"/>
  <c r="S55" i="8"/>
  <c r="V59" i="9" l="1"/>
  <c r="U59" i="9"/>
  <c r="L59" i="9"/>
  <c r="R59" i="9"/>
  <c r="M40" i="8"/>
  <c r="M34" i="8"/>
  <c r="M27" i="8"/>
  <c r="M22" i="8"/>
  <c r="M14" i="8"/>
  <c r="M8" i="8"/>
  <c r="J40" i="8"/>
  <c r="J39" i="8"/>
  <c r="S39" i="8" s="1"/>
  <c r="J34" i="8"/>
  <c r="S34" i="8" s="1"/>
  <c r="J27" i="8"/>
  <c r="J22" i="8"/>
  <c r="J17" i="8"/>
  <c r="J14" i="8"/>
  <c r="S14" i="8" s="1"/>
  <c r="J9" i="8"/>
  <c r="S9" i="8" s="1"/>
  <c r="J8" i="8"/>
  <c r="T57" i="8"/>
  <c r="O55" i="8"/>
  <c r="Q55" i="8" s="1"/>
  <c r="R55" i="8" s="1"/>
  <c r="V55" i="8" s="1"/>
  <c r="G55" i="8"/>
  <c r="I55" i="8" s="1"/>
  <c r="L55" i="8" s="1"/>
  <c r="U55" i="8" s="1"/>
  <c r="N54" i="8"/>
  <c r="O54" i="8" s="1"/>
  <c r="P54" i="8" s="1"/>
  <c r="N53" i="8"/>
  <c r="O53" i="8" s="1"/>
  <c r="G53" i="8"/>
  <c r="I53" i="8" s="1"/>
  <c r="L53" i="8" s="1"/>
  <c r="U53" i="8" s="1"/>
  <c r="N52" i="8"/>
  <c r="O52" i="8" s="1"/>
  <c r="P52" i="8" s="1"/>
  <c r="G52" i="8"/>
  <c r="I52" i="8" s="1"/>
  <c r="L52" i="8" s="1"/>
  <c r="U52" i="8" s="1"/>
  <c r="O51" i="8"/>
  <c r="Q51" i="8" s="1"/>
  <c r="R51" i="8" s="1"/>
  <c r="V51" i="8" s="1"/>
  <c r="N51" i="8"/>
  <c r="G51" i="8"/>
  <c r="I51" i="8" s="1"/>
  <c r="L51" i="8" s="1"/>
  <c r="U51" i="8" s="1"/>
  <c r="O50" i="8"/>
  <c r="Q50" i="8" s="1"/>
  <c r="R50" i="8" s="1"/>
  <c r="V50" i="8" s="1"/>
  <c r="G50" i="8"/>
  <c r="I50" i="8" s="1"/>
  <c r="L50" i="8" s="1"/>
  <c r="U50" i="8" s="1"/>
  <c r="N49" i="8"/>
  <c r="O49" i="8" s="1"/>
  <c r="P49" i="8" s="1"/>
  <c r="G49" i="8"/>
  <c r="I49" i="8" s="1"/>
  <c r="L49" i="8" s="1"/>
  <c r="U49" i="8" s="1"/>
  <c r="N48" i="8"/>
  <c r="O48" i="8" s="1"/>
  <c r="G48" i="8"/>
  <c r="I48" i="8" s="1"/>
  <c r="L48" i="8" s="1"/>
  <c r="U48" i="8" s="1"/>
  <c r="O47" i="8"/>
  <c r="G47" i="8"/>
  <c r="I47" i="8" s="1"/>
  <c r="L47" i="8" s="1"/>
  <c r="U47" i="8" s="1"/>
  <c r="O46" i="8"/>
  <c r="Q46" i="8" s="1"/>
  <c r="R46" i="8" s="1"/>
  <c r="V46" i="8" s="1"/>
  <c r="G46" i="8"/>
  <c r="I46" i="8" s="1"/>
  <c r="L46" i="8" s="1"/>
  <c r="U46" i="8" s="1"/>
  <c r="O45" i="8"/>
  <c r="Q45" i="8" s="1"/>
  <c r="R45" i="8" s="1"/>
  <c r="V45" i="8" s="1"/>
  <c r="G45" i="8"/>
  <c r="I45" i="8" s="1"/>
  <c r="L45" i="8" s="1"/>
  <c r="U45" i="8" s="1"/>
  <c r="O44" i="8"/>
  <c r="Q44" i="8" s="1"/>
  <c r="R44" i="8" s="1"/>
  <c r="V44" i="8" s="1"/>
  <c r="G44" i="8"/>
  <c r="I44" i="8" s="1"/>
  <c r="L44" i="8" s="1"/>
  <c r="U44" i="8" s="1"/>
  <c r="N43" i="8"/>
  <c r="O43" i="8" s="1"/>
  <c r="Q43" i="8" s="1"/>
  <c r="R43" i="8" s="1"/>
  <c r="V43" i="8" s="1"/>
  <c r="G43" i="8"/>
  <c r="I43" i="8" s="1"/>
  <c r="L43" i="8" s="1"/>
  <c r="U43" i="8" s="1"/>
  <c r="N42" i="8"/>
  <c r="O42" i="8" s="1"/>
  <c r="G42" i="8"/>
  <c r="I42" i="8" s="1"/>
  <c r="L42" i="8" s="1"/>
  <c r="U42" i="8" s="1"/>
  <c r="N41" i="8"/>
  <c r="O41" i="8" s="1"/>
  <c r="P41" i="8" s="1"/>
  <c r="G41" i="8"/>
  <c r="I41" i="8" s="1"/>
  <c r="L41" i="8" s="1"/>
  <c r="U41" i="8" s="1"/>
  <c r="O40" i="8"/>
  <c r="Q40" i="8" s="1"/>
  <c r="G40" i="8"/>
  <c r="I40" i="8" s="1"/>
  <c r="N39" i="8"/>
  <c r="O39" i="8" s="1"/>
  <c r="Q39" i="8" s="1"/>
  <c r="R39" i="8" s="1"/>
  <c r="V39" i="8" s="1"/>
  <c r="G39" i="8"/>
  <c r="I39" i="8" s="1"/>
  <c r="O38" i="8"/>
  <c r="Q38" i="8" s="1"/>
  <c r="R38" i="8" s="1"/>
  <c r="V38" i="8" s="1"/>
  <c r="G38" i="8"/>
  <c r="I38" i="8" s="1"/>
  <c r="L38" i="8" s="1"/>
  <c r="U38" i="8" s="1"/>
  <c r="N37" i="8"/>
  <c r="O37" i="8" s="1"/>
  <c r="V37" i="8" s="1"/>
  <c r="U37" i="8"/>
  <c r="N36" i="8"/>
  <c r="O36" i="8" s="1"/>
  <c r="G36" i="8"/>
  <c r="I36" i="8" s="1"/>
  <c r="L36" i="8" s="1"/>
  <c r="U36" i="8" s="1"/>
  <c r="O35" i="8"/>
  <c r="G35" i="8"/>
  <c r="I35" i="8" s="1"/>
  <c r="L35" i="8" s="1"/>
  <c r="U35" i="8" s="1"/>
  <c r="N34" i="8"/>
  <c r="O34" i="8" s="1"/>
  <c r="G34" i="8"/>
  <c r="I34" i="8" s="1"/>
  <c r="N33" i="8"/>
  <c r="O33" i="8" s="1"/>
  <c r="G33" i="8"/>
  <c r="I33" i="8" s="1"/>
  <c r="L33" i="8" s="1"/>
  <c r="U33" i="8" s="1"/>
  <c r="N30" i="8"/>
  <c r="O30" i="8" s="1"/>
  <c r="P30" i="8" s="1"/>
  <c r="G30" i="8"/>
  <c r="I30" i="8" s="1"/>
  <c r="L30" i="8" s="1"/>
  <c r="U30" i="8" s="1"/>
  <c r="N29" i="8"/>
  <c r="O29" i="8" s="1"/>
  <c r="G29" i="8"/>
  <c r="I29" i="8" s="1"/>
  <c r="L29" i="8" s="1"/>
  <c r="U29" i="8" s="1"/>
  <c r="N28" i="8"/>
  <c r="O28" i="8" s="1"/>
  <c r="G28" i="8"/>
  <c r="I28" i="8" s="1"/>
  <c r="L28" i="8" s="1"/>
  <c r="U28" i="8" s="1"/>
  <c r="O27" i="8"/>
  <c r="Q27" i="8" s="1"/>
  <c r="G27" i="8"/>
  <c r="I27" i="8" s="1"/>
  <c r="N26" i="8"/>
  <c r="O26" i="8" s="1"/>
  <c r="Q26" i="8" s="1"/>
  <c r="M26" i="8"/>
  <c r="J26" i="8"/>
  <c r="G26" i="8"/>
  <c r="I26" i="8" s="1"/>
  <c r="N25" i="8"/>
  <c r="O25" i="8" s="1"/>
  <c r="G25" i="8"/>
  <c r="I25" i="8" s="1"/>
  <c r="L25" i="8" s="1"/>
  <c r="U25" i="8" s="1"/>
  <c r="N24" i="8"/>
  <c r="O24" i="8" s="1"/>
  <c r="Q24" i="8" s="1"/>
  <c r="R24" i="8" s="1"/>
  <c r="V24" i="8" s="1"/>
  <c r="G24" i="8"/>
  <c r="I24" i="8" s="1"/>
  <c r="L24" i="8" s="1"/>
  <c r="U24" i="8" s="1"/>
  <c r="N23" i="8"/>
  <c r="O23" i="8" s="1"/>
  <c r="G23" i="8"/>
  <c r="I23" i="8" s="1"/>
  <c r="L23" i="8" s="1"/>
  <c r="U23" i="8" s="1"/>
  <c r="N22" i="8"/>
  <c r="O22" i="8" s="1"/>
  <c r="P22" i="8" s="1"/>
  <c r="G22" i="8"/>
  <c r="I22" i="8" s="1"/>
  <c r="O20" i="8"/>
  <c r="Q20" i="8" s="1"/>
  <c r="R20" i="8" s="1"/>
  <c r="V20" i="8" s="1"/>
  <c r="G20" i="8"/>
  <c r="I20" i="8" s="1"/>
  <c r="L20" i="8" s="1"/>
  <c r="U20" i="8" s="1"/>
  <c r="N19" i="8"/>
  <c r="O19" i="8" s="1"/>
  <c r="M19" i="8"/>
  <c r="J19" i="8"/>
  <c r="S19" i="8" s="1"/>
  <c r="G19" i="8"/>
  <c r="I19" i="8" s="1"/>
  <c r="L19" i="8" s="1"/>
  <c r="U19" i="8" s="1"/>
  <c r="N18" i="8"/>
  <c r="O18" i="8" s="1"/>
  <c r="G18" i="8"/>
  <c r="I18" i="8" s="1"/>
  <c r="L18" i="8" s="1"/>
  <c r="U18" i="8" s="1"/>
  <c r="O17" i="8"/>
  <c r="Q17" i="8" s="1"/>
  <c r="R17" i="8" s="1"/>
  <c r="V17" i="8" s="1"/>
  <c r="G17" i="8"/>
  <c r="I17" i="8" s="1"/>
  <c r="O16" i="8"/>
  <c r="P16" i="8" s="1"/>
  <c r="M16" i="8"/>
  <c r="J16" i="8"/>
  <c r="G16" i="8"/>
  <c r="I16" i="8" s="1"/>
  <c r="L16" i="8" s="1"/>
  <c r="U16" i="8" s="1"/>
  <c r="N15" i="8"/>
  <c r="O15" i="8" s="1"/>
  <c r="G15" i="8"/>
  <c r="I15" i="8" s="1"/>
  <c r="L15" i="8" s="1"/>
  <c r="U15" i="8" s="1"/>
  <c r="O14" i="8"/>
  <c r="P14" i="8" s="1"/>
  <c r="G14" i="8"/>
  <c r="I14" i="8" s="1"/>
  <c r="L14" i="8" s="1"/>
  <c r="U14" i="8" s="1"/>
  <c r="O13" i="8"/>
  <c r="Q13" i="8" s="1"/>
  <c r="R13" i="8" s="1"/>
  <c r="V13" i="8" s="1"/>
  <c r="G13" i="8"/>
  <c r="I13" i="8" s="1"/>
  <c r="L13" i="8" s="1"/>
  <c r="U13" i="8" s="1"/>
  <c r="N12" i="8"/>
  <c r="O12" i="8" s="1"/>
  <c r="Q12" i="8" s="1"/>
  <c r="R12" i="8" s="1"/>
  <c r="V12" i="8" s="1"/>
  <c r="G12" i="8"/>
  <c r="I12" i="8" s="1"/>
  <c r="L12" i="8" s="1"/>
  <c r="U12" i="8" s="1"/>
  <c r="O11" i="8"/>
  <c r="Q11" i="8" s="1"/>
  <c r="R11" i="8" s="1"/>
  <c r="V11" i="8" s="1"/>
  <c r="G11" i="8"/>
  <c r="I11" i="8" s="1"/>
  <c r="L11" i="8" s="1"/>
  <c r="U11" i="8" s="1"/>
  <c r="O10" i="8"/>
  <c r="Q10" i="8" s="1"/>
  <c r="R10" i="8" s="1"/>
  <c r="V10" i="8" s="1"/>
  <c r="G10" i="8"/>
  <c r="I10" i="8" s="1"/>
  <c r="L10" i="8" s="1"/>
  <c r="U10" i="8" s="1"/>
  <c r="N9" i="8"/>
  <c r="O9" i="8" s="1"/>
  <c r="G9" i="8"/>
  <c r="I9" i="8" s="1"/>
  <c r="L9" i="8" s="1"/>
  <c r="U9" i="8" s="1"/>
  <c r="O8" i="8"/>
  <c r="Q8" i="8" s="1"/>
  <c r="G8" i="8"/>
  <c r="I8" i="8" s="1"/>
  <c r="L8" i="8" s="1"/>
  <c r="U8" i="8" s="1"/>
  <c r="V7" i="8"/>
  <c r="G7" i="8"/>
  <c r="I7" i="8" s="1"/>
  <c r="L7" i="8" s="1"/>
  <c r="U7" i="8" s="1"/>
  <c r="S6" i="8"/>
  <c r="N6" i="8"/>
  <c r="O6" i="8" s="1"/>
  <c r="Q6" i="8" s="1"/>
  <c r="R6" i="8" s="1"/>
  <c r="V6" i="8" s="1"/>
  <c r="G6" i="8"/>
  <c r="I6" i="8" s="1"/>
  <c r="L6" i="8" s="1"/>
  <c r="U6" i="8" s="1"/>
  <c r="S5" i="8"/>
  <c r="N5" i="8"/>
  <c r="O5" i="8" s="1"/>
  <c r="G5" i="8"/>
  <c r="I5" i="8" s="1"/>
  <c r="L5" i="8" s="1"/>
  <c r="U5" i="8" s="1"/>
  <c r="V4" i="8"/>
  <c r="J4" i="8"/>
  <c r="G4" i="8"/>
  <c r="I4" i="8" s="1"/>
  <c r="L4" i="8" s="1"/>
  <c r="U4" i="8" s="1"/>
  <c r="S3" i="8"/>
  <c r="N3" i="8"/>
  <c r="O3" i="8" s="1"/>
  <c r="P3" i="8" s="1"/>
  <c r="G3" i="8"/>
  <c r="I3" i="8" s="1"/>
  <c r="L3" i="8" s="1"/>
  <c r="U3" i="8" s="1"/>
  <c r="O2" i="8"/>
  <c r="P2" i="8" s="1"/>
  <c r="G2" i="8"/>
  <c r="I2" i="8" s="1"/>
  <c r="L2" i="8" s="1"/>
  <c r="R26" i="8" l="1"/>
  <c r="V26" i="8" s="1"/>
  <c r="S22" i="8"/>
  <c r="S40" i="8"/>
  <c r="L22" i="8"/>
  <c r="U22" i="8" s="1"/>
  <c r="L39" i="8"/>
  <c r="U39" i="8" s="1"/>
  <c r="S26" i="8"/>
  <c r="R40" i="8"/>
  <c r="V40" i="8" s="1"/>
  <c r="R27" i="8"/>
  <c r="V27" i="8" s="1"/>
  <c r="R8" i="8"/>
  <c r="V8" i="8" s="1"/>
  <c r="L34" i="8"/>
  <c r="U34" i="8" s="1"/>
  <c r="L27" i="8"/>
  <c r="U27" i="8" s="1"/>
  <c r="L17" i="8"/>
  <c r="U17" i="8" s="1"/>
  <c r="P12" i="8"/>
  <c r="Q2" i="8"/>
  <c r="R2" i="8" s="1"/>
  <c r="V2" i="8" s="1"/>
  <c r="P27" i="8"/>
  <c r="Q49" i="8"/>
  <c r="R49" i="8" s="1"/>
  <c r="V49" i="8" s="1"/>
  <c r="P51" i="8"/>
  <c r="Q14" i="8"/>
  <c r="R14" i="8" s="1"/>
  <c r="V14" i="8" s="1"/>
  <c r="P55" i="8"/>
  <c r="P38" i="8"/>
  <c r="P45" i="8"/>
  <c r="P46" i="8"/>
  <c r="Q28" i="8"/>
  <c r="R28" i="8" s="1"/>
  <c r="V28" i="8" s="1"/>
  <c r="P28" i="8"/>
  <c r="Q25" i="8"/>
  <c r="R25" i="8" s="1"/>
  <c r="V25" i="8" s="1"/>
  <c r="P25" i="8"/>
  <c r="Q33" i="8"/>
  <c r="R33" i="8" s="1"/>
  <c r="V33" i="8" s="1"/>
  <c r="P33" i="8"/>
  <c r="Q34" i="8"/>
  <c r="R34" i="8" s="1"/>
  <c r="V34" i="8" s="1"/>
  <c r="P34" i="8"/>
  <c r="Q36" i="8"/>
  <c r="R36" i="8" s="1"/>
  <c r="V36" i="8" s="1"/>
  <c r="P36" i="8"/>
  <c r="Q48" i="8"/>
  <c r="R48" i="8" s="1"/>
  <c r="V48" i="8" s="1"/>
  <c r="P48" i="8"/>
  <c r="Q29" i="8"/>
  <c r="R29" i="8" s="1"/>
  <c r="V29" i="8" s="1"/>
  <c r="P29" i="8"/>
  <c r="Q18" i="8"/>
  <c r="R18" i="8" s="1"/>
  <c r="V18" i="8" s="1"/>
  <c r="P18" i="8"/>
  <c r="P17" i="8"/>
  <c r="P20" i="8"/>
  <c r="P44" i="8"/>
  <c r="P11" i="8"/>
  <c r="P37" i="8"/>
  <c r="U2" i="8"/>
  <c r="P9" i="8"/>
  <c r="Q9" i="8"/>
  <c r="R9" i="8" s="1"/>
  <c r="V9" i="8" s="1"/>
  <c r="Q5" i="8"/>
  <c r="R5" i="8" s="1"/>
  <c r="V5" i="8" s="1"/>
  <c r="P5" i="8"/>
  <c r="P15" i="8"/>
  <c r="Q15" i="8"/>
  <c r="R15" i="8" s="1"/>
  <c r="V15" i="8" s="1"/>
  <c r="P19" i="8"/>
  <c r="Q19" i="8"/>
  <c r="R19" i="8" s="1"/>
  <c r="V19" i="8" s="1"/>
  <c r="Q53" i="8"/>
  <c r="R53" i="8" s="1"/>
  <c r="V53" i="8" s="1"/>
  <c r="P53" i="8"/>
  <c r="P6" i="8"/>
  <c r="P8" i="8"/>
  <c r="P10" i="8"/>
  <c r="P13" i="8"/>
  <c r="Q16" i="8"/>
  <c r="R16" i="8" s="1"/>
  <c r="V16" i="8" s="1"/>
  <c r="Q30" i="8"/>
  <c r="R30" i="8" s="1"/>
  <c r="V30" i="8" s="1"/>
  <c r="Q41" i="8"/>
  <c r="R41" i="8" s="1"/>
  <c r="V41" i="8" s="1"/>
  <c r="P50" i="8"/>
  <c r="Q3" i="8"/>
  <c r="R3" i="8" s="1"/>
  <c r="V3" i="8" s="1"/>
  <c r="Q22" i="8"/>
  <c r="R22" i="8" s="1"/>
  <c r="V22" i="8" s="1"/>
  <c r="P24" i="8"/>
  <c r="L26" i="8"/>
  <c r="U26" i="8" s="1"/>
  <c r="P26" i="8"/>
  <c r="P39" i="8"/>
  <c r="L40" i="8"/>
  <c r="U40" i="8" s="1"/>
  <c r="P40" i="8"/>
  <c r="P43" i="8"/>
  <c r="Q47" i="8"/>
  <c r="R47" i="8" s="1"/>
  <c r="V47" i="8" s="1"/>
  <c r="P47" i="8"/>
  <c r="Q52" i="8"/>
  <c r="R52" i="8" s="1"/>
  <c r="V52" i="8" s="1"/>
  <c r="Q35" i="8"/>
  <c r="R35" i="8" s="1"/>
  <c r="V35" i="8" s="1"/>
  <c r="P35" i="8"/>
  <c r="Q23" i="8"/>
  <c r="R23" i="8" s="1"/>
  <c r="V23" i="8" s="1"/>
  <c r="P23" i="8"/>
  <c r="Q42" i="8"/>
  <c r="R42" i="8" s="1"/>
  <c r="V42" i="8" s="1"/>
  <c r="P42" i="8"/>
  <c r="O17" i="7"/>
  <c r="Q17" i="7" s="1"/>
  <c r="R17" i="7" s="1"/>
  <c r="S17" i="7"/>
  <c r="G17" i="7"/>
  <c r="I17" i="7" s="1"/>
  <c r="L17" i="7" s="1"/>
  <c r="U17" i="7" s="1"/>
  <c r="J11" i="7"/>
  <c r="T60" i="7"/>
  <c r="S59" i="7"/>
  <c r="O59" i="7"/>
  <c r="P59" i="7" s="1"/>
  <c r="G59" i="7"/>
  <c r="I59" i="7" s="1"/>
  <c r="L59" i="7" s="1"/>
  <c r="S58" i="7"/>
  <c r="O58" i="7"/>
  <c r="P58" i="7" s="1"/>
  <c r="G58" i="7"/>
  <c r="I58" i="7" s="1"/>
  <c r="L58" i="7" s="1"/>
  <c r="S57" i="7"/>
  <c r="N57" i="7"/>
  <c r="O57" i="7" s="1"/>
  <c r="G57" i="7"/>
  <c r="I57" i="7" s="1"/>
  <c r="L57" i="7" s="1"/>
  <c r="S56" i="7"/>
  <c r="N56" i="7"/>
  <c r="O56" i="7" s="1"/>
  <c r="Q56" i="7" s="1"/>
  <c r="R56" i="7" s="1"/>
  <c r="G56" i="7"/>
  <c r="I56" i="7" s="1"/>
  <c r="L56" i="7" s="1"/>
  <c r="S55" i="7"/>
  <c r="N55" i="7"/>
  <c r="O55" i="7" s="1"/>
  <c r="P55" i="7" s="1"/>
  <c r="G55" i="7"/>
  <c r="I55" i="7" s="1"/>
  <c r="L55" i="7" s="1"/>
  <c r="U55" i="7" s="1"/>
  <c r="S54" i="7"/>
  <c r="O54" i="7"/>
  <c r="Q54" i="7" s="1"/>
  <c r="R54" i="7" s="1"/>
  <c r="V54" i="7" s="1"/>
  <c r="N54" i="7"/>
  <c r="G54" i="7"/>
  <c r="I54" i="7" s="1"/>
  <c r="L54" i="7" s="1"/>
  <c r="U54" i="7" s="1"/>
  <c r="S53" i="7"/>
  <c r="O53" i="7"/>
  <c r="G53" i="7"/>
  <c r="I53" i="7" s="1"/>
  <c r="L53" i="7" s="1"/>
  <c r="U53" i="7" s="1"/>
  <c r="S52" i="7"/>
  <c r="N52" i="7"/>
  <c r="O52" i="7" s="1"/>
  <c r="G52" i="7"/>
  <c r="I52" i="7" s="1"/>
  <c r="L52" i="7" s="1"/>
  <c r="U52" i="7" s="1"/>
  <c r="S51" i="7"/>
  <c r="N51" i="7"/>
  <c r="O51" i="7" s="1"/>
  <c r="Q51" i="7" s="1"/>
  <c r="R51" i="7" s="1"/>
  <c r="V51" i="7" s="1"/>
  <c r="G51" i="7"/>
  <c r="I51" i="7" s="1"/>
  <c r="L51" i="7" s="1"/>
  <c r="U51" i="7" s="1"/>
  <c r="O50" i="7"/>
  <c r="Q50" i="7" s="1"/>
  <c r="R50" i="7" s="1"/>
  <c r="V50" i="7" s="1"/>
  <c r="G50" i="7"/>
  <c r="I50" i="7" s="1"/>
  <c r="L50" i="7" s="1"/>
  <c r="U50" i="7" s="1"/>
  <c r="O49" i="7"/>
  <c r="P49" i="7" s="1"/>
  <c r="G49" i="7"/>
  <c r="I49" i="7" s="1"/>
  <c r="L49" i="7" s="1"/>
  <c r="U49" i="7" s="1"/>
  <c r="O48" i="7"/>
  <c r="Q48" i="7" s="1"/>
  <c r="R48" i="7" s="1"/>
  <c r="V48" i="7" s="1"/>
  <c r="G48" i="7"/>
  <c r="I48" i="7" s="1"/>
  <c r="L48" i="7" s="1"/>
  <c r="U48" i="7" s="1"/>
  <c r="O47" i="7"/>
  <c r="P47" i="7" s="1"/>
  <c r="G47" i="7"/>
  <c r="I47" i="7" s="1"/>
  <c r="L47" i="7" s="1"/>
  <c r="U47" i="7" s="1"/>
  <c r="S46" i="7"/>
  <c r="N46" i="7"/>
  <c r="O46" i="7" s="1"/>
  <c r="P46" i="7" s="1"/>
  <c r="G46" i="7"/>
  <c r="I46" i="7" s="1"/>
  <c r="L46" i="7" s="1"/>
  <c r="U46" i="7" s="1"/>
  <c r="S45" i="7"/>
  <c r="N45" i="7"/>
  <c r="O45" i="7" s="1"/>
  <c r="Q45" i="7" s="1"/>
  <c r="R45" i="7" s="1"/>
  <c r="V45" i="7" s="1"/>
  <c r="G45" i="7"/>
  <c r="I45" i="7" s="1"/>
  <c r="L45" i="7" s="1"/>
  <c r="U45" i="7" s="1"/>
  <c r="N44" i="7"/>
  <c r="O44" i="7" s="1"/>
  <c r="S44" i="7"/>
  <c r="G44" i="7"/>
  <c r="I44" i="7" s="1"/>
  <c r="O43" i="7"/>
  <c r="M43" i="7"/>
  <c r="J43" i="7"/>
  <c r="G43" i="7"/>
  <c r="I43" i="7" s="1"/>
  <c r="S42" i="7"/>
  <c r="N42" i="7"/>
  <c r="O42" i="7" s="1"/>
  <c r="G42" i="7"/>
  <c r="I42" i="7" s="1"/>
  <c r="L42" i="7" s="1"/>
  <c r="U42" i="7" s="1"/>
  <c r="O41" i="7"/>
  <c r="P41" i="7" s="1"/>
  <c r="G41" i="7"/>
  <c r="I41" i="7" s="1"/>
  <c r="L41" i="7" s="1"/>
  <c r="U41" i="7" s="1"/>
  <c r="N40" i="7"/>
  <c r="O40" i="7" s="1"/>
  <c r="M40" i="7"/>
  <c r="J40" i="7"/>
  <c r="G40" i="7"/>
  <c r="I40" i="7" s="1"/>
  <c r="S39" i="7"/>
  <c r="N39" i="7"/>
  <c r="O39" i="7" s="1"/>
  <c r="Q39" i="7" s="1"/>
  <c r="R39" i="7" s="1"/>
  <c r="V39" i="7" s="1"/>
  <c r="G39" i="7"/>
  <c r="I39" i="7" s="1"/>
  <c r="L39" i="7" s="1"/>
  <c r="U39" i="7" s="1"/>
  <c r="O38" i="7"/>
  <c r="Q38" i="7" s="1"/>
  <c r="R38" i="7" s="1"/>
  <c r="V38" i="7" s="1"/>
  <c r="G38" i="7"/>
  <c r="I38" i="7" s="1"/>
  <c r="L38" i="7" s="1"/>
  <c r="U38" i="7" s="1"/>
  <c r="N37" i="7"/>
  <c r="O37" i="7" s="1"/>
  <c r="Q37" i="7" s="1"/>
  <c r="M37" i="7"/>
  <c r="S37" i="7"/>
  <c r="G37" i="7"/>
  <c r="I37" i="7" s="1"/>
  <c r="L37" i="7" s="1"/>
  <c r="U37" i="7" s="1"/>
  <c r="S36" i="7"/>
  <c r="N36" i="7"/>
  <c r="O36" i="7" s="1"/>
  <c r="P36" i="7" s="1"/>
  <c r="G36" i="7"/>
  <c r="I36" i="7" s="1"/>
  <c r="L36" i="7" s="1"/>
  <c r="U36" i="7" s="1"/>
  <c r="S35" i="7"/>
  <c r="N35" i="7"/>
  <c r="O35" i="7" s="1"/>
  <c r="Q35" i="7" s="1"/>
  <c r="R35" i="7" s="1"/>
  <c r="V35" i="7" s="1"/>
  <c r="G35" i="7"/>
  <c r="I35" i="7" s="1"/>
  <c r="L35" i="7" s="1"/>
  <c r="U35" i="7" s="1"/>
  <c r="S34" i="7"/>
  <c r="N34" i="7"/>
  <c r="O34" i="7" s="1"/>
  <c r="G34" i="7"/>
  <c r="I34" i="7" s="1"/>
  <c r="L34" i="7" s="1"/>
  <c r="U34" i="7" s="1"/>
  <c r="S33" i="7"/>
  <c r="N33" i="7"/>
  <c r="O33" i="7" s="1"/>
  <c r="Q33" i="7" s="1"/>
  <c r="R33" i="7" s="1"/>
  <c r="V33" i="7" s="1"/>
  <c r="G33" i="7"/>
  <c r="I33" i="7" s="1"/>
  <c r="L33" i="7" s="1"/>
  <c r="U33" i="7" s="1"/>
  <c r="S32" i="7"/>
  <c r="N32" i="7"/>
  <c r="O32" i="7" s="1"/>
  <c r="P32" i="7" s="1"/>
  <c r="G32" i="7"/>
  <c r="I32" i="7" s="1"/>
  <c r="L32" i="7" s="1"/>
  <c r="U32" i="7" s="1"/>
  <c r="S31" i="7"/>
  <c r="N31" i="7"/>
  <c r="O31" i="7" s="1"/>
  <c r="Q31" i="7" s="1"/>
  <c r="R31" i="7" s="1"/>
  <c r="V31" i="7" s="1"/>
  <c r="G31" i="7"/>
  <c r="I31" i="7" s="1"/>
  <c r="L31" i="7" s="1"/>
  <c r="U31" i="7" s="1"/>
  <c r="O30" i="7"/>
  <c r="Q30" i="7" s="1"/>
  <c r="R30" i="7" s="1"/>
  <c r="V30" i="7" s="1"/>
  <c r="G30" i="7"/>
  <c r="I30" i="7" s="1"/>
  <c r="L30" i="7" s="1"/>
  <c r="U30" i="7" s="1"/>
  <c r="N29" i="7"/>
  <c r="O29" i="7" s="1"/>
  <c r="Q29" i="7" s="1"/>
  <c r="M29" i="7"/>
  <c r="J29" i="7"/>
  <c r="S29" i="7" s="1"/>
  <c r="G29" i="7"/>
  <c r="I29" i="7" s="1"/>
  <c r="N28" i="7"/>
  <c r="O28" i="7" s="1"/>
  <c r="S28" i="7"/>
  <c r="G28" i="7"/>
  <c r="I28" i="7" s="1"/>
  <c r="L28" i="7" s="1"/>
  <c r="U28" i="7" s="1"/>
  <c r="N27" i="7"/>
  <c r="O27" i="7" s="1"/>
  <c r="S27" i="7"/>
  <c r="G27" i="7"/>
  <c r="I27" i="7" s="1"/>
  <c r="L27" i="7" s="1"/>
  <c r="U27" i="7" s="1"/>
  <c r="S26" i="7"/>
  <c r="N26" i="7"/>
  <c r="O26" i="7" s="1"/>
  <c r="G26" i="7"/>
  <c r="I26" i="7" s="1"/>
  <c r="L26" i="7" s="1"/>
  <c r="U26" i="7" s="1"/>
  <c r="N25" i="7"/>
  <c r="O25" i="7" s="1"/>
  <c r="M25" i="7"/>
  <c r="J25" i="7"/>
  <c r="G25" i="7"/>
  <c r="I25" i="7" s="1"/>
  <c r="S24" i="7"/>
  <c r="N24" i="7"/>
  <c r="O24" i="7" s="1"/>
  <c r="P24" i="7" s="1"/>
  <c r="G24" i="7"/>
  <c r="I24" i="7" s="1"/>
  <c r="L24" i="7" s="1"/>
  <c r="U24" i="7" s="1"/>
  <c r="O23" i="7"/>
  <c r="P23" i="7" s="1"/>
  <c r="G23" i="7"/>
  <c r="I23" i="7" s="1"/>
  <c r="L23" i="7" s="1"/>
  <c r="U23" i="7" s="1"/>
  <c r="N22" i="7"/>
  <c r="O22" i="7" s="1"/>
  <c r="P22" i="7" s="1"/>
  <c r="M22" i="7"/>
  <c r="J22" i="7"/>
  <c r="G22" i="7"/>
  <c r="I22" i="7" s="1"/>
  <c r="S21" i="7"/>
  <c r="N21" i="7"/>
  <c r="O21" i="7" s="1"/>
  <c r="Q21" i="7" s="1"/>
  <c r="R21" i="7" s="1"/>
  <c r="V21" i="7" s="1"/>
  <c r="G21" i="7"/>
  <c r="I21" i="7" s="1"/>
  <c r="L21" i="7" s="1"/>
  <c r="U21" i="7" s="1"/>
  <c r="O20" i="7"/>
  <c r="Q20" i="7" s="1"/>
  <c r="R20" i="7" s="1"/>
  <c r="V20" i="7" s="1"/>
  <c r="G20" i="7"/>
  <c r="I20" i="7" s="1"/>
  <c r="L20" i="7" s="1"/>
  <c r="U20" i="7" s="1"/>
  <c r="O19" i="7"/>
  <c r="P19" i="7" s="1"/>
  <c r="M19" i="7"/>
  <c r="J19" i="7"/>
  <c r="G19" i="7"/>
  <c r="I19" i="7" s="1"/>
  <c r="L19" i="7" s="1"/>
  <c r="U19" i="7" s="1"/>
  <c r="S18" i="7"/>
  <c r="N18" i="7"/>
  <c r="O18" i="7" s="1"/>
  <c r="G18" i="7"/>
  <c r="I18" i="7" s="1"/>
  <c r="L18" i="7" s="1"/>
  <c r="U18" i="7" s="1"/>
  <c r="S16" i="7"/>
  <c r="O16" i="7"/>
  <c r="Q16" i="7" s="1"/>
  <c r="R16" i="7" s="1"/>
  <c r="V16" i="7" s="1"/>
  <c r="G16" i="7"/>
  <c r="I16" i="7" s="1"/>
  <c r="L16" i="7" s="1"/>
  <c r="U16" i="7" s="1"/>
  <c r="S15" i="7"/>
  <c r="N15" i="7"/>
  <c r="O15" i="7" s="1"/>
  <c r="Q15" i="7" s="1"/>
  <c r="G15" i="7"/>
  <c r="I15" i="7" s="1"/>
  <c r="L15" i="7" s="1"/>
  <c r="U15" i="7" s="1"/>
  <c r="O14" i="7"/>
  <c r="P14" i="7" s="1"/>
  <c r="G14" i="7"/>
  <c r="I14" i="7" s="1"/>
  <c r="L14" i="7" s="1"/>
  <c r="U14" i="7" s="1"/>
  <c r="O13" i="7"/>
  <c r="Q13" i="7" s="1"/>
  <c r="R13" i="7" s="1"/>
  <c r="V13" i="7" s="1"/>
  <c r="G13" i="7"/>
  <c r="I13" i="7" s="1"/>
  <c r="L13" i="7" s="1"/>
  <c r="U13" i="7" s="1"/>
  <c r="S12" i="7"/>
  <c r="N12" i="7"/>
  <c r="O12" i="7" s="1"/>
  <c r="Q12" i="7" s="1"/>
  <c r="R12" i="7" s="1"/>
  <c r="V12" i="7" s="1"/>
  <c r="G12" i="7"/>
  <c r="I12" i="7" s="1"/>
  <c r="L12" i="7" s="1"/>
  <c r="U12" i="7" s="1"/>
  <c r="O11" i="7"/>
  <c r="Q11" i="7" s="1"/>
  <c r="R11" i="7" s="1"/>
  <c r="V11" i="7" s="1"/>
  <c r="G11" i="7"/>
  <c r="I11" i="7" s="1"/>
  <c r="L11" i="7" s="1"/>
  <c r="U11" i="7" s="1"/>
  <c r="V10" i="7"/>
  <c r="G10" i="7"/>
  <c r="I10" i="7" s="1"/>
  <c r="L10" i="7" s="1"/>
  <c r="U10" i="7" s="1"/>
  <c r="S9" i="7"/>
  <c r="N9" i="7"/>
  <c r="O9" i="7" s="1"/>
  <c r="G9" i="7"/>
  <c r="I9" i="7" s="1"/>
  <c r="L9" i="7" s="1"/>
  <c r="U9" i="7" s="1"/>
  <c r="S8" i="7"/>
  <c r="N8" i="7"/>
  <c r="O8" i="7" s="1"/>
  <c r="Q8" i="7" s="1"/>
  <c r="R8" i="7" s="1"/>
  <c r="V8" i="7" s="1"/>
  <c r="G8" i="7"/>
  <c r="I8" i="7" s="1"/>
  <c r="L8" i="7" s="1"/>
  <c r="U8" i="7" s="1"/>
  <c r="V7" i="7"/>
  <c r="J7" i="7"/>
  <c r="G7" i="7"/>
  <c r="I7" i="7" s="1"/>
  <c r="S6" i="7"/>
  <c r="N6" i="7"/>
  <c r="O6" i="7" s="1"/>
  <c r="P6" i="7" s="1"/>
  <c r="G6" i="7"/>
  <c r="I6" i="7" s="1"/>
  <c r="L6" i="7" s="1"/>
  <c r="U6" i="7" s="1"/>
  <c r="O5" i="7"/>
  <c r="G5" i="7"/>
  <c r="I5" i="7" s="1"/>
  <c r="L5" i="7" s="1"/>
  <c r="U5" i="7" s="1"/>
  <c r="U57" i="8" l="1"/>
  <c r="V57" i="8"/>
  <c r="R57" i="8"/>
  <c r="L57" i="8"/>
  <c r="P17" i="7"/>
  <c r="S40" i="7"/>
  <c r="L43" i="7"/>
  <c r="U43" i="7" s="1"/>
  <c r="L7" i="7"/>
  <c r="U7" i="7" s="1"/>
  <c r="S22" i="7"/>
  <c r="L25" i="7"/>
  <c r="U25" i="7" s="1"/>
  <c r="R29" i="7"/>
  <c r="V29" i="7" s="1"/>
  <c r="R37" i="7"/>
  <c r="V37" i="7" s="1"/>
  <c r="S25" i="7"/>
  <c r="L29" i="7"/>
  <c r="U29" i="7" s="1"/>
  <c r="Q14" i="7"/>
  <c r="R14" i="7" s="1"/>
  <c r="V14" i="7" s="1"/>
  <c r="P39" i="7"/>
  <c r="P40" i="7"/>
  <c r="Q40" i="7"/>
  <c r="R40" i="7" s="1"/>
  <c r="V40" i="7" s="1"/>
  <c r="P12" i="7"/>
  <c r="P33" i="7"/>
  <c r="Q47" i="7"/>
  <c r="R47" i="7" s="1"/>
  <c r="V47" i="7" s="1"/>
  <c r="P37" i="7"/>
  <c r="P38" i="7"/>
  <c r="Q55" i="7"/>
  <c r="R55" i="7" s="1"/>
  <c r="V55" i="7" s="1"/>
  <c r="P51" i="7"/>
  <c r="Q24" i="7"/>
  <c r="R24" i="7" s="1"/>
  <c r="V24" i="7" s="1"/>
  <c r="P34" i="7"/>
  <c r="Q34" i="7"/>
  <c r="R34" i="7" s="1"/>
  <c r="V34" i="7" s="1"/>
  <c r="P42" i="7"/>
  <c r="Q42" i="7"/>
  <c r="R42" i="7" s="1"/>
  <c r="V42" i="7" s="1"/>
  <c r="P26" i="7"/>
  <c r="Q26" i="7"/>
  <c r="R26" i="7" s="1"/>
  <c r="V26" i="7" s="1"/>
  <c r="P44" i="7"/>
  <c r="Q44" i="7"/>
  <c r="R44" i="7" s="1"/>
  <c r="V44" i="7" s="1"/>
  <c r="P52" i="7"/>
  <c r="Q52" i="7"/>
  <c r="R52" i="7" s="1"/>
  <c r="V52" i="7" s="1"/>
  <c r="V17" i="7"/>
  <c r="P21" i="7"/>
  <c r="Q22" i="7"/>
  <c r="R22" i="7" s="1"/>
  <c r="V22" i="7" s="1"/>
  <c r="P30" i="7"/>
  <c r="P48" i="7"/>
  <c r="Q49" i="7"/>
  <c r="R49" i="7" s="1"/>
  <c r="V49" i="7" s="1"/>
  <c r="P50" i="7"/>
  <c r="Q59" i="7"/>
  <c r="R59" i="7" s="1"/>
  <c r="Q6" i="7"/>
  <c r="R6" i="7" s="1"/>
  <c r="V6" i="7" s="1"/>
  <c r="P11" i="7"/>
  <c r="P13" i="7"/>
  <c r="P16" i="7"/>
  <c r="P20" i="7"/>
  <c r="P54" i="7"/>
  <c r="Q18" i="7"/>
  <c r="R18" i="7" s="1"/>
  <c r="V18" i="7" s="1"/>
  <c r="P18" i="7"/>
  <c r="Q9" i="7"/>
  <c r="R9" i="7" s="1"/>
  <c r="V9" i="7" s="1"/>
  <c r="P9" i="7"/>
  <c r="R15" i="7"/>
  <c r="V15" i="7" s="1"/>
  <c r="P15" i="7"/>
  <c r="P53" i="7"/>
  <c r="Q53" i="7"/>
  <c r="R53" i="7" s="1"/>
  <c r="V53" i="7" s="1"/>
  <c r="P57" i="7"/>
  <c r="Q57" i="7"/>
  <c r="R57" i="7" s="1"/>
  <c r="P8" i="7"/>
  <c r="P28" i="7"/>
  <c r="Q28" i="7"/>
  <c r="R28" i="7" s="1"/>
  <c r="V28" i="7" s="1"/>
  <c r="Q19" i="7"/>
  <c r="R19" i="7" s="1"/>
  <c r="V19" i="7" s="1"/>
  <c r="Q25" i="7"/>
  <c r="R25" i="7" s="1"/>
  <c r="V25" i="7" s="1"/>
  <c r="P25" i="7"/>
  <c r="Q27" i="7"/>
  <c r="R27" i="7" s="1"/>
  <c r="V27" i="7" s="1"/>
  <c r="P27" i="7"/>
  <c r="P43" i="7"/>
  <c r="Q43" i="7"/>
  <c r="R43" i="7" s="1"/>
  <c r="V43" i="7" s="1"/>
  <c r="Q5" i="7"/>
  <c r="R5" i="7" s="1"/>
  <c r="P5" i="7"/>
  <c r="Q23" i="7"/>
  <c r="R23" i="7" s="1"/>
  <c r="V23" i="7" s="1"/>
  <c r="P29" i="7"/>
  <c r="P31" i="7"/>
  <c r="Q32" i="7"/>
  <c r="R32" i="7" s="1"/>
  <c r="V32" i="7" s="1"/>
  <c r="P35" i="7"/>
  <c r="Q36" i="7"/>
  <c r="R36" i="7" s="1"/>
  <c r="V36" i="7" s="1"/>
  <c r="Q41" i="7"/>
  <c r="R41" i="7" s="1"/>
  <c r="V41" i="7" s="1"/>
  <c r="P45" i="7"/>
  <c r="Q46" i="7"/>
  <c r="R46" i="7" s="1"/>
  <c r="V46" i="7" s="1"/>
  <c r="P56" i="7"/>
  <c r="Q58" i="7"/>
  <c r="R58" i="7" s="1"/>
  <c r="L22" i="7"/>
  <c r="U22" i="7" s="1"/>
  <c r="L40" i="7"/>
  <c r="U40" i="7" s="1"/>
  <c r="L44" i="7"/>
  <c r="U44" i="7" s="1"/>
  <c r="M37" i="6"/>
  <c r="V5" i="7" l="1"/>
  <c r="R60" i="7"/>
  <c r="L60" i="7"/>
  <c r="J19" i="6"/>
  <c r="M19" i="6"/>
  <c r="S53" i="6" l="1"/>
  <c r="S51" i="6"/>
  <c r="S52" i="6"/>
  <c r="S54" i="6"/>
  <c r="S55" i="6"/>
  <c r="S56" i="6"/>
  <c r="S57" i="6"/>
  <c r="S58" i="6"/>
  <c r="S59" i="6"/>
  <c r="O58" i="6"/>
  <c r="Q58" i="6" s="1"/>
  <c r="R58" i="6" s="1"/>
  <c r="O59" i="6"/>
  <c r="Q59" i="6" s="1"/>
  <c r="R59" i="6" s="1"/>
  <c r="G58" i="6"/>
  <c r="I58" i="6" s="1"/>
  <c r="L58" i="6" s="1"/>
  <c r="G59" i="6"/>
  <c r="I59" i="6" s="1"/>
  <c r="L59" i="6" s="1"/>
  <c r="G57" i="6"/>
  <c r="I57" i="6" s="1"/>
  <c r="L57" i="6" s="1"/>
  <c r="N57" i="6"/>
  <c r="O57" i="6" s="1"/>
  <c r="G56" i="6"/>
  <c r="I56" i="6" s="1"/>
  <c r="L56" i="6" s="1"/>
  <c r="N56" i="6"/>
  <c r="O56" i="6" s="1"/>
  <c r="T60" i="6"/>
  <c r="N55" i="6"/>
  <c r="O55" i="6" s="1"/>
  <c r="P55" i="6" s="1"/>
  <c r="G55" i="6"/>
  <c r="I55" i="6" s="1"/>
  <c r="L55" i="6" s="1"/>
  <c r="U55" i="6" s="1"/>
  <c r="O54" i="6"/>
  <c r="Q54" i="6" s="1"/>
  <c r="R54" i="6" s="1"/>
  <c r="V54" i="6" s="1"/>
  <c r="N54" i="6"/>
  <c r="G54" i="6"/>
  <c r="I54" i="6" s="1"/>
  <c r="L54" i="6" s="1"/>
  <c r="U54" i="6" s="1"/>
  <c r="O53" i="6"/>
  <c r="Q53" i="6" s="1"/>
  <c r="R53" i="6" s="1"/>
  <c r="V53" i="6" s="1"/>
  <c r="G53" i="6"/>
  <c r="I53" i="6" s="1"/>
  <c r="L53" i="6" s="1"/>
  <c r="U53" i="6" s="1"/>
  <c r="N52" i="6"/>
  <c r="O52" i="6" s="1"/>
  <c r="Q52" i="6" s="1"/>
  <c r="R52" i="6" s="1"/>
  <c r="V52" i="6" s="1"/>
  <c r="G52" i="6"/>
  <c r="I52" i="6" s="1"/>
  <c r="L52" i="6" s="1"/>
  <c r="U52" i="6" s="1"/>
  <c r="N51" i="6"/>
  <c r="O51" i="6" s="1"/>
  <c r="P51" i="6" s="1"/>
  <c r="G51" i="6"/>
  <c r="I51" i="6" s="1"/>
  <c r="L51" i="6" s="1"/>
  <c r="U51" i="6" s="1"/>
  <c r="O50" i="6"/>
  <c r="P50" i="6" s="1"/>
  <c r="G50" i="6"/>
  <c r="I50" i="6" s="1"/>
  <c r="L50" i="6" s="1"/>
  <c r="U50" i="6" s="1"/>
  <c r="O49" i="6"/>
  <c r="Q49" i="6" s="1"/>
  <c r="R49" i="6" s="1"/>
  <c r="V49" i="6" s="1"/>
  <c r="G49" i="6"/>
  <c r="I49" i="6" s="1"/>
  <c r="O48" i="6"/>
  <c r="P48" i="6" s="1"/>
  <c r="G48" i="6"/>
  <c r="I48" i="6" s="1"/>
  <c r="L48" i="6" s="1"/>
  <c r="U48" i="6" s="1"/>
  <c r="O47" i="6"/>
  <c r="P47" i="6" s="1"/>
  <c r="G47" i="6"/>
  <c r="I47" i="6" s="1"/>
  <c r="L47" i="6" s="1"/>
  <c r="U47" i="6" s="1"/>
  <c r="S46" i="6"/>
  <c r="N46" i="6"/>
  <c r="O46" i="6" s="1"/>
  <c r="P46" i="6" s="1"/>
  <c r="G46" i="6"/>
  <c r="I46" i="6" s="1"/>
  <c r="L46" i="6" s="1"/>
  <c r="U46" i="6" s="1"/>
  <c r="S45" i="6"/>
  <c r="N45" i="6"/>
  <c r="O45" i="6" s="1"/>
  <c r="Q45" i="6" s="1"/>
  <c r="R45" i="6" s="1"/>
  <c r="V45" i="6" s="1"/>
  <c r="G45" i="6"/>
  <c r="I45" i="6" s="1"/>
  <c r="L45" i="6" s="1"/>
  <c r="U45" i="6" s="1"/>
  <c r="N44" i="6"/>
  <c r="O44" i="6" s="1"/>
  <c r="P44" i="6" s="1"/>
  <c r="M44" i="6"/>
  <c r="J44" i="6"/>
  <c r="G44" i="6"/>
  <c r="I44" i="6" s="1"/>
  <c r="O43" i="6"/>
  <c r="P43" i="6" s="1"/>
  <c r="M43" i="6"/>
  <c r="J43" i="6"/>
  <c r="G43" i="6"/>
  <c r="I43" i="6" s="1"/>
  <c r="S42" i="6"/>
  <c r="N42" i="6"/>
  <c r="O42" i="6" s="1"/>
  <c r="Q42" i="6" s="1"/>
  <c r="R42" i="6" s="1"/>
  <c r="V42" i="6" s="1"/>
  <c r="G42" i="6"/>
  <c r="I42" i="6" s="1"/>
  <c r="L42" i="6" s="1"/>
  <c r="U42" i="6" s="1"/>
  <c r="O41" i="6"/>
  <c r="P41" i="6" s="1"/>
  <c r="G41" i="6"/>
  <c r="I41" i="6" s="1"/>
  <c r="L41" i="6" s="1"/>
  <c r="U41" i="6" s="1"/>
  <c r="N40" i="6"/>
  <c r="O40" i="6" s="1"/>
  <c r="P40" i="6" s="1"/>
  <c r="M40" i="6"/>
  <c r="J40" i="6"/>
  <c r="G40" i="6"/>
  <c r="I40" i="6" s="1"/>
  <c r="S39" i="6"/>
  <c r="N39" i="6"/>
  <c r="O39" i="6" s="1"/>
  <c r="Q39" i="6" s="1"/>
  <c r="R39" i="6" s="1"/>
  <c r="V39" i="6" s="1"/>
  <c r="G39" i="6"/>
  <c r="I39" i="6" s="1"/>
  <c r="L39" i="6" s="1"/>
  <c r="U39" i="6" s="1"/>
  <c r="O38" i="6"/>
  <c r="P38" i="6" s="1"/>
  <c r="G38" i="6"/>
  <c r="I38" i="6" s="1"/>
  <c r="L38" i="6" s="1"/>
  <c r="U38" i="6" s="1"/>
  <c r="N37" i="6"/>
  <c r="O37" i="6" s="1"/>
  <c r="P37" i="6" s="1"/>
  <c r="J37" i="6"/>
  <c r="G37" i="6"/>
  <c r="I37" i="6" s="1"/>
  <c r="S36" i="6"/>
  <c r="N36" i="6"/>
  <c r="O36" i="6" s="1"/>
  <c r="Q36" i="6" s="1"/>
  <c r="R36" i="6" s="1"/>
  <c r="V36" i="6" s="1"/>
  <c r="G36" i="6"/>
  <c r="I36" i="6" s="1"/>
  <c r="L36" i="6" s="1"/>
  <c r="U36" i="6" s="1"/>
  <c r="S35" i="6"/>
  <c r="N35" i="6"/>
  <c r="O35" i="6" s="1"/>
  <c r="P35" i="6" s="1"/>
  <c r="G35" i="6"/>
  <c r="I35" i="6" s="1"/>
  <c r="L35" i="6" s="1"/>
  <c r="U35" i="6" s="1"/>
  <c r="S34" i="6"/>
  <c r="N34" i="6"/>
  <c r="O34" i="6" s="1"/>
  <c r="Q34" i="6" s="1"/>
  <c r="R34" i="6" s="1"/>
  <c r="V34" i="6" s="1"/>
  <c r="G34" i="6"/>
  <c r="I34" i="6" s="1"/>
  <c r="L34" i="6" s="1"/>
  <c r="U34" i="6" s="1"/>
  <c r="S33" i="6"/>
  <c r="N33" i="6"/>
  <c r="O33" i="6" s="1"/>
  <c r="P33" i="6" s="1"/>
  <c r="G33" i="6"/>
  <c r="I33" i="6" s="1"/>
  <c r="L33" i="6" s="1"/>
  <c r="U33" i="6" s="1"/>
  <c r="S32" i="6"/>
  <c r="N32" i="6"/>
  <c r="O32" i="6" s="1"/>
  <c r="Q32" i="6" s="1"/>
  <c r="R32" i="6" s="1"/>
  <c r="V32" i="6" s="1"/>
  <c r="G32" i="6"/>
  <c r="I32" i="6" s="1"/>
  <c r="L32" i="6" s="1"/>
  <c r="U32" i="6" s="1"/>
  <c r="S31" i="6"/>
  <c r="N31" i="6"/>
  <c r="O31" i="6" s="1"/>
  <c r="P31" i="6" s="1"/>
  <c r="G31" i="6"/>
  <c r="I31" i="6" s="1"/>
  <c r="L31" i="6" s="1"/>
  <c r="U31" i="6" s="1"/>
  <c r="O30" i="6"/>
  <c r="Q30" i="6" s="1"/>
  <c r="R30" i="6" s="1"/>
  <c r="V30" i="6" s="1"/>
  <c r="G30" i="6"/>
  <c r="I30" i="6" s="1"/>
  <c r="L30" i="6" s="1"/>
  <c r="U30" i="6" s="1"/>
  <c r="N29" i="6"/>
  <c r="O29" i="6" s="1"/>
  <c r="Q29" i="6" s="1"/>
  <c r="M29" i="6"/>
  <c r="J29" i="6"/>
  <c r="S29" i="6" s="1"/>
  <c r="G29" i="6"/>
  <c r="I29" i="6" s="1"/>
  <c r="N28" i="6"/>
  <c r="O28" i="6" s="1"/>
  <c r="P28" i="6" s="1"/>
  <c r="M28" i="6"/>
  <c r="J28" i="6"/>
  <c r="G28" i="6"/>
  <c r="I28" i="6" s="1"/>
  <c r="N27" i="6"/>
  <c r="O27" i="6" s="1"/>
  <c r="Q27" i="6" s="1"/>
  <c r="M27" i="6"/>
  <c r="J27" i="6"/>
  <c r="S27" i="6" s="1"/>
  <c r="G27" i="6"/>
  <c r="I27" i="6" s="1"/>
  <c r="S26" i="6"/>
  <c r="N26" i="6"/>
  <c r="O26" i="6" s="1"/>
  <c r="P26" i="6" s="1"/>
  <c r="G26" i="6"/>
  <c r="I26" i="6" s="1"/>
  <c r="L26" i="6" s="1"/>
  <c r="U26" i="6" s="1"/>
  <c r="N25" i="6"/>
  <c r="O25" i="6" s="1"/>
  <c r="Q25" i="6" s="1"/>
  <c r="R25" i="6" s="1"/>
  <c r="V25" i="6" s="1"/>
  <c r="M25" i="6"/>
  <c r="J25" i="6"/>
  <c r="G25" i="6"/>
  <c r="I25" i="6" s="1"/>
  <c r="L25" i="6" s="1"/>
  <c r="U25" i="6" s="1"/>
  <c r="S24" i="6"/>
  <c r="N24" i="6"/>
  <c r="O24" i="6" s="1"/>
  <c r="P24" i="6" s="1"/>
  <c r="G24" i="6"/>
  <c r="I24" i="6" s="1"/>
  <c r="L24" i="6" s="1"/>
  <c r="U24" i="6" s="1"/>
  <c r="O23" i="6"/>
  <c r="P23" i="6" s="1"/>
  <c r="G23" i="6"/>
  <c r="I23" i="6" s="1"/>
  <c r="L23" i="6" s="1"/>
  <c r="U23" i="6" s="1"/>
  <c r="N22" i="6"/>
  <c r="O22" i="6" s="1"/>
  <c r="P22" i="6" s="1"/>
  <c r="M22" i="6"/>
  <c r="J22" i="6"/>
  <c r="G22" i="6"/>
  <c r="I22" i="6" s="1"/>
  <c r="S21" i="6"/>
  <c r="N21" i="6"/>
  <c r="O21" i="6" s="1"/>
  <c r="Q21" i="6" s="1"/>
  <c r="R21" i="6" s="1"/>
  <c r="V21" i="6" s="1"/>
  <c r="G21" i="6"/>
  <c r="I21" i="6" s="1"/>
  <c r="L21" i="6" s="1"/>
  <c r="U21" i="6" s="1"/>
  <c r="O20" i="6"/>
  <c r="Q20" i="6" s="1"/>
  <c r="R20" i="6" s="1"/>
  <c r="V20" i="6" s="1"/>
  <c r="G20" i="6"/>
  <c r="I20" i="6" s="1"/>
  <c r="L20" i="6" s="1"/>
  <c r="U20" i="6" s="1"/>
  <c r="O19" i="6"/>
  <c r="Q19" i="6" s="1"/>
  <c r="G19" i="6"/>
  <c r="I19" i="6" s="1"/>
  <c r="S18" i="6"/>
  <c r="N18" i="6"/>
  <c r="O18" i="6" s="1"/>
  <c r="Q18" i="6" s="1"/>
  <c r="R18" i="6" s="1"/>
  <c r="V18" i="6" s="1"/>
  <c r="G18" i="6"/>
  <c r="I18" i="6" s="1"/>
  <c r="L18" i="6" s="1"/>
  <c r="U18" i="6" s="1"/>
  <c r="S17" i="6"/>
  <c r="N17" i="6"/>
  <c r="O17" i="6" s="1"/>
  <c r="G17" i="6"/>
  <c r="I17" i="6" s="1"/>
  <c r="L17" i="6" s="1"/>
  <c r="U17" i="6" s="1"/>
  <c r="S16" i="6"/>
  <c r="O16" i="6"/>
  <c r="Q16" i="6" s="1"/>
  <c r="R16" i="6" s="1"/>
  <c r="V16" i="6" s="1"/>
  <c r="G16" i="6"/>
  <c r="I16" i="6" s="1"/>
  <c r="L16" i="6" s="1"/>
  <c r="U16" i="6" s="1"/>
  <c r="S15" i="6"/>
  <c r="N15" i="6"/>
  <c r="O15" i="6" s="1"/>
  <c r="Q15" i="6" s="1"/>
  <c r="R15" i="6" s="1"/>
  <c r="V15" i="6" s="1"/>
  <c r="G15" i="6"/>
  <c r="I15" i="6" s="1"/>
  <c r="L15" i="6" s="1"/>
  <c r="U15" i="6" s="1"/>
  <c r="O14" i="6"/>
  <c r="Q14" i="6" s="1"/>
  <c r="R14" i="6" s="1"/>
  <c r="V14" i="6" s="1"/>
  <c r="G14" i="6"/>
  <c r="I14" i="6" s="1"/>
  <c r="L14" i="6" s="1"/>
  <c r="U14" i="6" s="1"/>
  <c r="O13" i="6"/>
  <c r="P13" i="6" s="1"/>
  <c r="G13" i="6"/>
  <c r="I13" i="6" s="1"/>
  <c r="L13" i="6" s="1"/>
  <c r="U13" i="6" s="1"/>
  <c r="S12" i="6"/>
  <c r="N12" i="6"/>
  <c r="O12" i="6" s="1"/>
  <c r="P12" i="6" s="1"/>
  <c r="G12" i="6"/>
  <c r="I12" i="6" s="1"/>
  <c r="L12" i="6" s="1"/>
  <c r="U12" i="6" s="1"/>
  <c r="O11" i="6"/>
  <c r="Q11" i="6" s="1"/>
  <c r="M11" i="6"/>
  <c r="J11" i="6"/>
  <c r="G11" i="6"/>
  <c r="I11" i="6" s="1"/>
  <c r="G10" i="6"/>
  <c r="I10" i="6" s="1"/>
  <c r="L10" i="6" s="1"/>
  <c r="U10" i="6" s="1"/>
  <c r="N9" i="6"/>
  <c r="O9" i="6" s="1"/>
  <c r="M9" i="6"/>
  <c r="J9" i="6"/>
  <c r="G9" i="6"/>
  <c r="I9" i="6" s="1"/>
  <c r="L9" i="6" s="1"/>
  <c r="U9" i="6" s="1"/>
  <c r="S8" i="6"/>
  <c r="N8" i="6"/>
  <c r="O8" i="6" s="1"/>
  <c r="G8" i="6"/>
  <c r="I8" i="6" s="1"/>
  <c r="L8" i="6" s="1"/>
  <c r="U8" i="6" s="1"/>
  <c r="J7" i="6"/>
  <c r="G7" i="6"/>
  <c r="I7" i="6" s="1"/>
  <c r="S6" i="6"/>
  <c r="N6" i="6"/>
  <c r="O6" i="6" s="1"/>
  <c r="G6" i="6"/>
  <c r="I6" i="6" s="1"/>
  <c r="L6" i="6" s="1"/>
  <c r="U6" i="6" s="1"/>
  <c r="O5" i="6"/>
  <c r="G5" i="6"/>
  <c r="I5" i="6" s="1"/>
  <c r="L5" i="6" s="1"/>
  <c r="U5" i="6" s="1"/>
  <c r="P57" i="6" l="1"/>
  <c r="Q57" i="6"/>
  <c r="R57" i="6" s="1"/>
  <c r="P59" i="6"/>
  <c r="P58" i="6"/>
  <c r="P56" i="6"/>
  <c r="Q56" i="6"/>
  <c r="R56" i="6" s="1"/>
  <c r="S9" i="6"/>
  <c r="S25" i="6"/>
  <c r="S37" i="6"/>
  <c r="L40" i="6"/>
  <c r="U40" i="6" s="1"/>
  <c r="S22" i="6"/>
  <c r="S28" i="6"/>
  <c r="S44" i="6"/>
  <c r="L7" i="6"/>
  <c r="U7" i="6" s="1"/>
  <c r="R11" i="6"/>
  <c r="V11" i="6" s="1"/>
  <c r="L19" i="6"/>
  <c r="U19" i="6" s="1"/>
  <c r="R27" i="6"/>
  <c r="V27" i="6" s="1"/>
  <c r="R29" i="6"/>
  <c r="V29" i="6" s="1"/>
  <c r="S40" i="6"/>
  <c r="R19" i="6"/>
  <c r="V19" i="6" s="1"/>
  <c r="L11" i="6"/>
  <c r="U11" i="6" s="1"/>
  <c r="L22" i="6"/>
  <c r="U22" i="6" s="1"/>
  <c r="L27" i="6"/>
  <c r="U27" i="6" s="1"/>
  <c r="L28" i="6"/>
  <c r="U28" i="6" s="1"/>
  <c r="L29" i="6"/>
  <c r="U29" i="6" s="1"/>
  <c r="L43" i="6"/>
  <c r="U43" i="6" s="1"/>
  <c r="L44" i="6"/>
  <c r="U44" i="6" s="1"/>
  <c r="P18" i="6"/>
  <c r="Q50" i="6"/>
  <c r="R50" i="6" s="1"/>
  <c r="V50" i="6" s="1"/>
  <c r="P53" i="6"/>
  <c r="Q33" i="6"/>
  <c r="R33" i="6" s="1"/>
  <c r="V33" i="6" s="1"/>
  <c r="Q48" i="6"/>
  <c r="R48" i="6" s="1"/>
  <c r="V48" i="6" s="1"/>
  <c r="P29" i="6"/>
  <c r="Q13" i="6"/>
  <c r="R13" i="6" s="1"/>
  <c r="V13" i="6" s="1"/>
  <c r="P16" i="6"/>
  <c r="P19" i="6"/>
  <c r="Q23" i="6"/>
  <c r="R23" i="6" s="1"/>
  <c r="V23" i="6" s="1"/>
  <c r="P45" i="6"/>
  <c r="Q43" i="6"/>
  <c r="R43" i="6" s="1"/>
  <c r="V43" i="6" s="1"/>
  <c r="P49" i="6"/>
  <c r="P52" i="6"/>
  <c r="P15" i="6"/>
  <c r="P20" i="6"/>
  <c r="P32" i="6"/>
  <c r="Q46" i="6"/>
  <c r="R46" i="6" s="1"/>
  <c r="V46" i="6" s="1"/>
  <c r="P30" i="6"/>
  <c r="P36" i="6"/>
  <c r="Q37" i="6"/>
  <c r="R37" i="6" s="1"/>
  <c r="V37" i="6" s="1"/>
  <c r="P39" i="6"/>
  <c r="Q41" i="6"/>
  <c r="R41" i="6" s="1"/>
  <c r="V41" i="6" s="1"/>
  <c r="P54" i="6"/>
  <c r="P5" i="6"/>
  <c r="Q5" i="6"/>
  <c r="R5" i="6" s="1"/>
  <c r="P9" i="6"/>
  <c r="Q9" i="6"/>
  <c r="R9" i="6" s="1"/>
  <c r="V9" i="6" s="1"/>
  <c r="P6" i="6"/>
  <c r="Q6" i="6"/>
  <c r="R6" i="6" s="1"/>
  <c r="V6" i="6" s="1"/>
  <c r="V7" i="6"/>
  <c r="V10" i="6"/>
  <c r="Q8" i="6"/>
  <c r="R8" i="6" s="1"/>
  <c r="V8" i="6" s="1"/>
  <c r="P8" i="6"/>
  <c r="P17" i="6"/>
  <c r="Q17" i="6"/>
  <c r="R17" i="6" s="1"/>
  <c r="V17" i="6" s="1"/>
  <c r="P14" i="6"/>
  <c r="Q24" i="6"/>
  <c r="R24" i="6" s="1"/>
  <c r="V24" i="6" s="1"/>
  <c r="Q26" i="6"/>
  <c r="R26" i="6" s="1"/>
  <c r="V26" i="6" s="1"/>
  <c r="Q31" i="6"/>
  <c r="R31" i="6" s="1"/>
  <c r="V31" i="6" s="1"/>
  <c r="P34" i="6"/>
  <c r="Q35" i="6"/>
  <c r="R35" i="6" s="1"/>
  <c r="V35" i="6" s="1"/>
  <c r="Q40" i="6"/>
  <c r="R40" i="6" s="1"/>
  <c r="V40" i="6" s="1"/>
  <c r="P42" i="6"/>
  <c r="Q51" i="6"/>
  <c r="R51" i="6" s="1"/>
  <c r="V51" i="6" s="1"/>
  <c r="P11" i="6"/>
  <c r="Q12" i="6"/>
  <c r="R12" i="6" s="1"/>
  <c r="V12" i="6" s="1"/>
  <c r="Q22" i="6"/>
  <c r="R22" i="6" s="1"/>
  <c r="V22" i="6" s="1"/>
  <c r="P25" i="6"/>
  <c r="P27" i="6"/>
  <c r="Q28" i="6"/>
  <c r="R28" i="6" s="1"/>
  <c r="V28" i="6" s="1"/>
  <c r="Q38" i="6"/>
  <c r="R38" i="6" s="1"/>
  <c r="V38" i="6" s="1"/>
  <c r="Q44" i="6"/>
  <c r="R44" i="6" s="1"/>
  <c r="V44" i="6" s="1"/>
  <c r="Q47" i="6"/>
  <c r="R47" i="6" s="1"/>
  <c r="V47" i="6" s="1"/>
  <c r="L49" i="6"/>
  <c r="U49" i="6" s="1"/>
  <c r="Q55" i="6"/>
  <c r="R55" i="6" s="1"/>
  <c r="V55" i="6" s="1"/>
  <c r="P21" i="6"/>
  <c r="L37" i="6"/>
  <c r="U37" i="6" s="1"/>
  <c r="J40" i="5"/>
  <c r="R60" i="6" l="1"/>
  <c r="U60" i="6"/>
  <c r="L60" i="6"/>
  <c r="V5" i="6"/>
  <c r="V60" i="6" s="1"/>
  <c r="G53" i="5"/>
  <c r="I53" i="5" s="1"/>
  <c r="L53" i="5" s="1"/>
  <c r="U53" i="5" s="1"/>
  <c r="M49" i="5"/>
  <c r="M44" i="5"/>
  <c r="M43" i="5"/>
  <c r="M40" i="5"/>
  <c r="M37" i="5"/>
  <c r="M29" i="5"/>
  <c r="M28" i="5"/>
  <c r="M27" i="5"/>
  <c r="M25" i="5"/>
  <c r="M23" i="5"/>
  <c r="M22" i="5"/>
  <c r="M19" i="5"/>
  <c r="M11" i="5"/>
  <c r="M9" i="5"/>
  <c r="J25" i="5"/>
  <c r="S25" i="5" s="1"/>
  <c r="J29" i="5"/>
  <c r="J49" i="5"/>
  <c r="J11" i="5"/>
  <c r="J43" i="5"/>
  <c r="J22" i="5"/>
  <c r="J27" i="5"/>
  <c r="J23" i="5"/>
  <c r="J7" i="5"/>
  <c r="J19" i="5"/>
  <c r="J37" i="5"/>
  <c r="S37" i="5" s="1"/>
  <c r="J9" i="5"/>
  <c r="J28" i="5"/>
  <c r="J44" i="5"/>
  <c r="S53" i="5"/>
  <c r="O53" i="5"/>
  <c r="Q53" i="5" s="1"/>
  <c r="V53" i="5" s="1"/>
  <c r="T57" i="5"/>
  <c r="S55" i="5"/>
  <c r="N55" i="5"/>
  <c r="O55" i="5" s="1"/>
  <c r="P55" i="5" s="1"/>
  <c r="G55" i="5"/>
  <c r="I55" i="5" s="1"/>
  <c r="L55" i="5" s="1"/>
  <c r="U55" i="5" s="1"/>
  <c r="S54" i="5"/>
  <c r="O54" i="5"/>
  <c r="Q54" i="5" s="1"/>
  <c r="R54" i="5" s="1"/>
  <c r="V54" i="5" s="1"/>
  <c r="N54" i="5"/>
  <c r="G54" i="5"/>
  <c r="I54" i="5" s="1"/>
  <c r="L54" i="5" s="1"/>
  <c r="U54" i="5" s="1"/>
  <c r="S52" i="5"/>
  <c r="N52" i="5"/>
  <c r="O52" i="5" s="1"/>
  <c r="P52" i="5" s="1"/>
  <c r="G52" i="5"/>
  <c r="I52" i="5" s="1"/>
  <c r="L52" i="5" s="1"/>
  <c r="U52" i="5" s="1"/>
  <c r="S51" i="5"/>
  <c r="N51" i="5"/>
  <c r="O51" i="5" s="1"/>
  <c r="Q51" i="5" s="1"/>
  <c r="R51" i="5" s="1"/>
  <c r="V51" i="5" s="1"/>
  <c r="G51" i="5"/>
  <c r="I51" i="5" s="1"/>
  <c r="L51" i="5" s="1"/>
  <c r="U51" i="5" s="1"/>
  <c r="S50" i="5"/>
  <c r="O50" i="5"/>
  <c r="G50" i="5"/>
  <c r="I50" i="5" s="1"/>
  <c r="L50" i="5" s="1"/>
  <c r="U50" i="5" s="1"/>
  <c r="S49" i="5"/>
  <c r="O49" i="5"/>
  <c r="Q49" i="5" s="1"/>
  <c r="R49" i="5" s="1"/>
  <c r="V49" i="5" s="1"/>
  <c r="G49" i="5"/>
  <c r="I49" i="5" s="1"/>
  <c r="L49" i="5" s="1"/>
  <c r="U49" i="5" s="1"/>
  <c r="O48" i="5"/>
  <c r="P48" i="5" s="1"/>
  <c r="G48" i="5"/>
  <c r="I48" i="5" s="1"/>
  <c r="L48" i="5" s="1"/>
  <c r="U48" i="5" s="1"/>
  <c r="S47" i="5"/>
  <c r="O47" i="5"/>
  <c r="Q47" i="5" s="1"/>
  <c r="R47" i="5" s="1"/>
  <c r="V47" i="5" s="1"/>
  <c r="G47" i="5"/>
  <c r="I47" i="5" s="1"/>
  <c r="L47" i="5" s="1"/>
  <c r="U47" i="5" s="1"/>
  <c r="S46" i="5"/>
  <c r="N46" i="5"/>
  <c r="O46" i="5" s="1"/>
  <c r="P46" i="5" s="1"/>
  <c r="G46" i="5"/>
  <c r="I46" i="5" s="1"/>
  <c r="L46" i="5" s="1"/>
  <c r="U46" i="5" s="1"/>
  <c r="S45" i="5"/>
  <c r="N45" i="5"/>
  <c r="O45" i="5" s="1"/>
  <c r="Q45" i="5" s="1"/>
  <c r="R45" i="5" s="1"/>
  <c r="V45" i="5" s="1"/>
  <c r="G45" i="5"/>
  <c r="I45" i="5" s="1"/>
  <c r="L45" i="5" s="1"/>
  <c r="U45" i="5" s="1"/>
  <c r="S44" i="5"/>
  <c r="N44" i="5"/>
  <c r="O44" i="5" s="1"/>
  <c r="Q44" i="5" s="1"/>
  <c r="R44" i="5" s="1"/>
  <c r="V44" i="5" s="1"/>
  <c r="G44" i="5"/>
  <c r="I44" i="5" s="1"/>
  <c r="L44" i="5" s="1"/>
  <c r="U44" i="5" s="1"/>
  <c r="S43" i="5"/>
  <c r="O43" i="5"/>
  <c r="G43" i="5"/>
  <c r="I43" i="5" s="1"/>
  <c r="S42" i="5"/>
  <c r="N42" i="5"/>
  <c r="O42" i="5" s="1"/>
  <c r="P42" i="5" s="1"/>
  <c r="G42" i="5"/>
  <c r="I42" i="5" s="1"/>
  <c r="L42" i="5" s="1"/>
  <c r="U42" i="5" s="1"/>
  <c r="S41" i="5"/>
  <c r="O41" i="5"/>
  <c r="Q41" i="5" s="1"/>
  <c r="R41" i="5" s="1"/>
  <c r="V41" i="5" s="1"/>
  <c r="G41" i="5"/>
  <c r="I41" i="5" s="1"/>
  <c r="L41" i="5" s="1"/>
  <c r="U41" i="5" s="1"/>
  <c r="S40" i="5"/>
  <c r="N40" i="5"/>
  <c r="O40" i="5" s="1"/>
  <c r="P40" i="5" s="1"/>
  <c r="G40" i="5"/>
  <c r="I40" i="5" s="1"/>
  <c r="L40" i="5" s="1"/>
  <c r="U40" i="5" s="1"/>
  <c r="S39" i="5"/>
  <c r="N39" i="5"/>
  <c r="O39" i="5" s="1"/>
  <c r="Q39" i="5" s="1"/>
  <c r="R39" i="5" s="1"/>
  <c r="V39" i="5" s="1"/>
  <c r="G39" i="5"/>
  <c r="I39" i="5" s="1"/>
  <c r="L39" i="5" s="1"/>
  <c r="U39" i="5" s="1"/>
  <c r="S38" i="5"/>
  <c r="O38" i="5"/>
  <c r="Q38" i="5" s="1"/>
  <c r="R38" i="5" s="1"/>
  <c r="V38" i="5" s="1"/>
  <c r="G38" i="5"/>
  <c r="I38" i="5" s="1"/>
  <c r="L38" i="5" s="1"/>
  <c r="U38" i="5" s="1"/>
  <c r="N37" i="5"/>
  <c r="O37" i="5" s="1"/>
  <c r="P37" i="5" s="1"/>
  <c r="G37" i="5"/>
  <c r="I37" i="5" s="1"/>
  <c r="L37" i="5" s="1"/>
  <c r="U37" i="5" s="1"/>
  <c r="S36" i="5"/>
  <c r="N36" i="5"/>
  <c r="O36" i="5" s="1"/>
  <c r="Q36" i="5" s="1"/>
  <c r="R36" i="5" s="1"/>
  <c r="V36" i="5" s="1"/>
  <c r="G36" i="5"/>
  <c r="I36" i="5" s="1"/>
  <c r="L36" i="5" s="1"/>
  <c r="U36" i="5" s="1"/>
  <c r="S35" i="5"/>
  <c r="N35" i="5"/>
  <c r="O35" i="5" s="1"/>
  <c r="Q35" i="5" s="1"/>
  <c r="R35" i="5" s="1"/>
  <c r="V35" i="5" s="1"/>
  <c r="G35" i="5"/>
  <c r="I35" i="5" s="1"/>
  <c r="L35" i="5" s="1"/>
  <c r="U35" i="5" s="1"/>
  <c r="S34" i="5"/>
  <c r="N34" i="5"/>
  <c r="O34" i="5" s="1"/>
  <c r="G34" i="5"/>
  <c r="I34" i="5" s="1"/>
  <c r="L34" i="5" s="1"/>
  <c r="U34" i="5" s="1"/>
  <c r="S33" i="5"/>
  <c r="N33" i="5"/>
  <c r="O33" i="5" s="1"/>
  <c r="P33" i="5" s="1"/>
  <c r="G33" i="5"/>
  <c r="I33" i="5" s="1"/>
  <c r="L33" i="5" s="1"/>
  <c r="U33" i="5" s="1"/>
  <c r="S32" i="5"/>
  <c r="N32" i="5"/>
  <c r="O32" i="5" s="1"/>
  <c r="Q32" i="5" s="1"/>
  <c r="R32" i="5" s="1"/>
  <c r="V32" i="5" s="1"/>
  <c r="G32" i="5"/>
  <c r="I32" i="5" s="1"/>
  <c r="L32" i="5" s="1"/>
  <c r="U32" i="5" s="1"/>
  <c r="S31" i="5"/>
  <c r="N31" i="5"/>
  <c r="O31" i="5" s="1"/>
  <c r="Q31" i="5" s="1"/>
  <c r="R31" i="5" s="1"/>
  <c r="V31" i="5" s="1"/>
  <c r="G31" i="5"/>
  <c r="I31" i="5" s="1"/>
  <c r="L31" i="5" s="1"/>
  <c r="U31" i="5" s="1"/>
  <c r="S30" i="5"/>
  <c r="O30" i="5"/>
  <c r="G30" i="5"/>
  <c r="I30" i="5" s="1"/>
  <c r="L30" i="5" s="1"/>
  <c r="U30" i="5" s="1"/>
  <c r="S29" i="5"/>
  <c r="N29" i="5"/>
  <c r="O29" i="5" s="1"/>
  <c r="Q29" i="5" s="1"/>
  <c r="R29" i="5" s="1"/>
  <c r="V29" i="5" s="1"/>
  <c r="G29" i="5"/>
  <c r="I29" i="5" s="1"/>
  <c r="S28" i="5"/>
  <c r="N28" i="5"/>
  <c r="O28" i="5" s="1"/>
  <c r="Q28" i="5" s="1"/>
  <c r="R28" i="5" s="1"/>
  <c r="V28" i="5" s="1"/>
  <c r="G28" i="5"/>
  <c r="I28" i="5" s="1"/>
  <c r="S27" i="5"/>
  <c r="N27" i="5"/>
  <c r="O27" i="5" s="1"/>
  <c r="G27" i="5"/>
  <c r="I27" i="5" s="1"/>
  <c r="L27" i="5" s="1"/>
  <c r="U27" i="5" s="1"/>
  <c r="S26" i="5"/>
  <c r="N26" i="5"/>
  <c r="O26" i="5" s="1"/>
  <c r="P26" i="5" s="1"/>
  <c r="G26" i="5"/>
  <c r="I26" i="5" s="1"/>
  <c r="L26" i="5" s="1"/>
  <c r="U26" i="5" s="1"/>
  <c r="N25" i="5"/>
  <c r="O25" i="5" s="1"/>
  <c r="Q25" i="5" s="1"/>
  <c r="R25" i="5" s="1"/>
  <c r="V25" i="5" s="1"/>
  <c r="G25" i="5"/>
  <c r="I25" i="5" s="1"/>
  <c r="L25" i="5" s="1"/>
  <c r="U25" i="5" s="1"/>
  <c r="S24" i="5"/>
  <c r="N24" i="5"/>
  <c r="O24" i="5" s="1"/>
  <c r="G24" i="5"/>
  <c r="I24" i="5" s="1"/>
  <c r="L24" i="5" s="1"/>
  <c r="U24" i="5" s="1"/>
  <c r="O23" i="5"/>
  <c r="P23" i="5" s="1"/>
  <c r="G23" i="5"/>
  <c r="I23" i="5" s="1"/>
  <c r="N22" i="5"/>
  <c r="O22" i="5" s="1"/>
  <c r="Q22" i="5" s="1"/>
  <c r="R22" i="5" s="1"/>
  <c r="V22" i="5" s="1"/>
  <c r="G22" i="5"/>
  <c r="I22" i="5" s="1"/>
  <c r="L22" i="5" s="1"/>
  <c r="U22" i="5" s="1"/>
  <c r="S21" i="5"/>
  <c r="N21" i="5"/>
  <c r="O21" i="5" s="1"/>
  <c r="G21" i="5"/>
  <c r="I21" i="5" s="1"/>
  <c r="L21" i="5" s="1"/>
  <c r="U21" i="5" s="1"/>
  <c r="O20" i="5"/>
  <c r="P20" i="5" s="1"/>
  <c r="G20" i="5"/>
  <c r="I20" i="5" s="1"/>
  <c r="L20" i="5" s="1"/>
  <c r="U20" i="5" s="1"/>
  <c r="S19" i="5"/>
  <c r="O19" i="5"/>
  <c r="G19" i="5"/>
  <c r="I19" i="5" s="1"/>
  <c r="L19" i="5" s="1"/>
  <c r="U19" i="5" s="1"/>
  <c r="S18" i="5"/>
  <c r="N18" i="5"/>
  <c r="O18" i="5" s="1"/>
  <c r="Q18" i="5" s="1"/>
  <c r="R18" i="5" s="1"/>
  <c r="V18" i="5" s="1"/>
  <c r="G18" i="5"/>
  <c r="I18" i="5" s="1"/>
  <c r="L18" i="5" s="1"/>
  <c r="U18" i="5" s="1"/>
  <c r="S17" i="5"/>
  <c r="N17" i="5"/>
  <c r="O17" i="5" s="1"/>
  <c r="Q17" i="5" s="1"/>
  <c r="R17" i="5" s="1"/>
  <c r="V17" i="5" s="1"/>
  <c r="G17" i="5"/>
  <c r="I17" i="5" s="1"/>
  <c r="L17" i="5" s="1"/>
  <c r="U17" i="5" s="1"/>
  <c r="S16" i="5"/>
  <c r="O16" i="5"/>
  <c r="G16" i="5"/>
  <c r="I16" i="5" s="1"/>
  <c r="L16" i="5" s="1"/>
  <c r="U16" i="5" s="1"/>
  <c r="S15" i="5"/>
  <c r="N15" i="5"/>
  <c r="O15" i="5" s="1"/>
  <c r="Q15" i="5" s="1"/>
  <c r="R15" i="5" s="1"/>
  <c r="V15" i="5" s="1"/>
  <c r="G15" i="5"/>
  <c r="I15" i="5" s="1"/>
  <c r="L15" i="5" s="1"/>
  <c r="U15" i="5" s="1"/>
  <c r="S14" i="5"/>
  <c r="O14" i="5"/>
  <c r="Q14" i="5" s="1"/>
  <c r="R14" i="5" s="1"/>
  <c r="V14" i="5" s="1"/>
  <c r="G14" i="5"/>
  <c r="I14" i="5" s="1"/>
  <c r="L14" i="5" s="1"/>
  <c r="U14" i="5" s="1"/>
  <c r="S13" i="5"/>
  <c r="O13" i="5"/>
  <c r="Q13" i="5" s="1"/>
  <c r="R13" i="5" s="1"/>
  <c r="V13" i="5" s="1"/>
  <c r="G13" i="5"/>
  <c r="I13" i="5" s="1"/>
  <c r="L13" i="5" s="1"/>
  <c r="U13" i="5" s="1"/>
  <c r="S12" i="5"/>
  <c r="N12" i="5"/>
  <c r="O12" i="5" s="1"/>
  <c r="Q12" i="5" s="1"/>
  <c r="R12" i="5" s="1"/>
  <c r="V12" i="5" s="1"/>
  <c r="G12" i="5"/>
  <c r="I12" i="5" s="1"/>
  <c r="L12" i="5" s="1"/>
  <c r="U12" i="5" s="1"/>
  <c r="S11" i="5"/>
  <c r="O11" i="5"/>
  <c r="P11" i="5" s="1"/>
  <c r="G11" i="5"/>
  <c r="I11" i="5" s="1"/>
  <c r="L11" i="5" s="1"/>
  <c r="U11" i="5" s="1"/>
  <c r="S10" i="5"/>
  <c r="N10" i="5"/>
  <c r="O10" i="5" s="1"/>
  <c r="Q10" i="5" s="1"/>
  <c r="R10" i="5" s="1"/>
  <c r="V10" i="5" s="1"/>
  <c r="G10" i="5"/>
  <c r="I10" i="5" s="1"/>
  <c r="L10" i="5" s="1"/>
  <c r="U10" i="5" s="1"/>
  <c r="S9" i="5"/>
  <c r="N9" i="5"/>
  <c r="O9" i="5" s="1"/>
  <c r="Q9" i="5" s="1"/>
  <c r="R9" i="5" s="1"/>
  <c r="V9" i="5" s="1"/>
  <c r="G9" i="5"/>
  <c r="I9" i="5" s="1"/>
  <c r="L9" i="5" s="1"/>
  <c r="U9" i="5" s="1"/>
  <c r="S8" i="5"/>
  <c r="N8" i="5"/>
  <c r="O8" i="5" s="1"/>
  <c r="G8" i="5"/>
  <c r="I8" i="5" s="1"/>
  <c r="L8" i="5" s="1"/>
  <c r="U8" i="5" s="1"/>
  <c r="S7" i="5"/>
  <c r="N7" i="5"/>
  <c r="O7" i="5" s="1"/>
  <c r="G7" i="5"/>
  <c r="I7" i="5" s="1"/>
  <c r="L7" i="5" s="1"/>
  <c r="U7" i="5" s="1"/>
  <c r="S6" i="5"/>
  <c r="N6" i="5"/>
  <c r="O6" i="5" s="1"/>
  <c r="Q6" i="5" s="1"/>
  <c r="R6" i="5" s="1"/>
  <c r="V6" i="5" s="1"/>
  <c r="G6" i="5"/>
  <c r="I6" i="5" s="1"/>
  <c r="L6" i="5" s="1"/>
  <c r="U6" i="5" s="1"/>
  <c r="O5" i="5"/>
  <c r="P5" i="5" s="1"/>
  <c r="G5" i="5"/>
  <c r="I5" i="5" s="1"/>
  <c r="L5" i="5" s="1"/>
  <c r="P49" i="5" l="1"/>
  <c r="Q20" i="5"/>
  <c r="R20" i="5" s="1"/>
  <c r="V20" i="5" s="1"/>
  <c r="P36" i="5"/>
  <c r="P44" i="5"/>
  <c r="Q48" i="5"/>
  <c r="R48" i="5" s="1"/>
  <c r="V48" i="5" s="1"/>
  <c r="P51" i="5"/>
  <c r="Q33" i="5"/>
  <c r="R33" i="5" s="1"/>
  <c r="V33" i="5" s="1"/>
  <c r="Q46" i="5"/>
  <c r="R46" i="5" s="1"/>
  <c r="V46" i="5" s="1"/>
  <c r="Q26" i="5"/>
  <c r="R26" i="5" s="1"/>
  <c r="V26" i="5" s="1"/>
  <c r="P29" i="5"/>
  <c r="P53" i="5"/>
  <c r="S22" i="5"/>
  <c r="L29" i="5"/>
  <c r="U29" i="5" s="1"/>
  <c r="L43" i="5"/>
  <c r="U43" i="5" s="1"/>
  <c r="L23" i="5"/>
  <c r="U23" i="5" s="1"/>
  <c r="L28" i="5"/>
  <c r="U28" i="5" s="1"/>
  <c r="Q24" i="5"/>
  <c r="R24" i="5" s="1"/>
  <c r="V24" i="5" s="1"/>
  <c r="P24" i="5"/>
  <c r="P13" i="5"/>
  <c r="P22" i="5"/>
  <c r="P25" i="5"/>
  <c r="P32" i="5"/>
  <c r="Q37" i="5"/>
  <c r="R37" i="5" s="1"/>
  <c r="V37" i="5" s="1"/>
  <c r="P45" i="5"/>
  <c r="P41" i="5"/>
  <c r="Q23" i="5"/>
  <c r="R23" i="5" s="1"/>
  <c r="V23" i="5" s="1"/>
  <c r="P28" i="5"/>
  <c r="P18" i="5"/>
  <c r="P15" i="5"/>
  <c r="P12" i="5"/>
  <c r="P10" i="5"/>
  <c r="P6" i="5"/>
  <c r="Q34" i="5"/>
  <c r="R34" i="5" s="1"/>
  <c r="V34" i="5" s="1"/>
  <c r="P34" i="5"/>
  <c r="P8" i="5"/>
  <c r="Q8" i="5"/>
  <c r="R8" i="5" s="1"/>
  <c r="V8" i="5" s="1"/>
  <c r="Q27" i="5"/>
  <c r="R27" i="5" s="1"/>
  <c r="V27" i="5" s="1"/>
  <c r="P27" i="5"/>
  <c r="Q7" i="5"/>
  <c r="R7" i="5" s="1"/>
  <c r="V7" i="5" s="1"/>
  <c r="P7" i="5"/>
  <c r="Q21" i="5"/>
  <c r="R21" i="5" s="1"/>
  <c r="V21" i="5" s="1"/>
  <c r="P21" i="5"/>
  <c r="Q50" i="5"/>
  <c r="R50" i="5" s="1"/>
  <c r="V50" i="5" s="1"/>
  <c r="P50" i="5"/>
  <c r="U5" i="5"/>
  <c r="P14" i="5"/>
  <c r="P17" i="5"/>
  <c r="P35" i="5"/>
  <c r="P39" i="5"/>
  <c r="Q40" i="5"/>
  <c r="R40" i="5" s="1"/>
  <c r="V40" i="5" s="1"/>
  <c r="Q43" i="5"/>
  <c r="R43" i="5" s="1"/>
  <c r="V43" i="5" s="1"/>
  <c r="P43" i="5"/>
  <c r="P47" i="5"/>
  <c r="Q5" i="5"/>
  <c r="R5" i="5" s="1"/>
  <c r="Q11" i="5"/>
  <c r="R11" i="5" s="1"/>
  <c r="V11" i="5" s="1"/>
  <c r="Q42" i="5"/>
  <c r="R42" i="5" s="1"/>
  <c r="V42" i="5" s="1"/>
  <c r="Q52" i="5"/>
  <c r="R52" i="5" s="1"/>
  <c r="V52" i="5" s="1"/>
  <c r="P9" i="5"/>
  <c r="Q19" i="5"/>
  <c r="R19" i="5" s="1"/>
  <c r="V19" i="5" s="1"/>
  <c r="P19" i="5"/>
  <c r="P31" i="5"/>
  <c r="P54" i="5"/>
  <c r="Q55" i="5"/>
  <c r="R55" i="5" s="1"/>
  <c r="V55" i="5" s="1"/>
  <c r="Q16" i="5"/>
  <c r="R16" i="5" s="1"/>
  <c r="V16" i="5" s="1"/>
  <c r="P16" i="5"/>
  <c r="Q30" i="5"/>
  <c r="R30" i="5" s="1"/>
  <c r="V30" i="5" s="1"/>
  <c r="P30" i="5"/>
  <c r="P38" i="5"/>
  <c r="L53" i="4"/>
  <c r="R53" i="4"/>
  <c r="T58" i="4"/>
  <c r="S56" i="4"/>
  <c r="N56" i="4"/>
  <c r="O56" i="4" s="1"/>
  <c r="G56" i="4"/>
  <c r="I56" i="4" s="1"/>
  <c r="L56" i="4" s="1"/>
  <c r="S55" i="4"/>
  <c r="O55" i="4"/>
  <c r="Q55" i="4" s="1"/>
  <c r="R55" i="4" s="1"/>
  <c r="N55" i="4"/>
  <c r="G55" i="4"/>
  <c r="I55" i="4" s="1"/>
  <c r="L55" i="4" s="1"/>
  <c r="S54" i="4"/>
  <c r="O54" i="4"/>
  <c r="P54" i="4" s="1"/>
  <c r="N54" i="4"/>
  <c r="G54" i="4"/>
  <c r="I54" i="4" s="1"/>
  <c r="S52" i="4"/>
  <c r="N52" i="4"/>
  <c r="O52" i="4" s="1"/>
  <c r="G52" i="4"/>
  <c r="I52" i="4" s="1"/>
  <c r="S51" i="4"/>
  <c r="N51" i="4"/>
  <c r="O51" i="4" s="1"/>
  <c r="Q51" i="4" s="1"/>
  <c r="R51" i="4" s="1"/>
  <c r="G51" i="4"/>
  <c r="I51" i="4" s="1"/>
  <c r="L51" i="4" s="1"/>
  <c r="S50" i="4"/>
  <c r="O50" i="4"/>
  <c r="G50" i="4"/>
  <c r="I50" i="4" s="1"/>
  <c r="L50" i="4" s="1"/>
  <c r="S49" i="4"/>
  <c r="O49" i="4"/>
  <c r="Q49" i="4" s="1"/>
  <c r="R49" i="4" s="1"/>
  <c r="G49" i="4"/>
  <c r="I49" i="4" s="1"/>
  <c r="L49" i="4" s="1"/>
  <c r="O48" i="4"/>
  <c r="P48" i="4" s="1"/>
  <c r="G48" i="4"/>
  <c r="I48" i="4" s="1"/>
  <c r="L48" i="4" s="1"/>
  <c r="S47" i="4"/>
  <c r="O47" i="4"/>
  <c r="Q47" i="4" s="1"/>
  <c r="R47" i="4" s="1"/>
  <c r="G47" i="4"/>
  <c r="I47" i="4" s="1"/>
  <c r="L47" i="4" s="1"/>
  <c r="S46" i="4"/>
  <c r="N46" i="4"/>
  <c r="O46" i="4" s="1"/>
  <c r="G46" i="4"/>
  <c r="I46" i="4" s="1"/>
  <c r="S45" i="4"/>
  <c r="N45" i="4"/>
  <c r="O45" i="4" s="1"/>
  <c r="G45" i="4"/>
  <c r="I45" i="4" s="1"/>
  <c r="S44" i="4"/>
  <c r="N44" i="4"/>
  <c r="O44" i="4" s="1"/>
  <c r="Q44" i="4" s="1"/>
  <c r="G44" i="4"/>
  <c r="I44" i="4" s="1"/>
  <c r="L44" i="4" s="1"/>
  <c r="S43" i="4"/>
  <c r="O43" i="4"/>
  <c r="G43" i="4"/>
  <c r="I43" i="4" s="1"/>
  <c r="L43" i="4" s="1"/>
  <c r="S42" i="4"/>
  <c r="N42" i="4"/>
  <c r="O42" i="4" s="1"/>
  <c r="P42" i="4" s="1"/>
  <c r="G42" i="4"/>
  <c r="I42" i="4" s="1"/>
  <c r="S41" i="4"/>
  <c r="O41" i="4"/>
  <c r="Q41" i="4" s="1"/>
  <c r="G41" i="4"/>
  <c r="I41" i="4" s="1"/>
  <c r="S40" i="4"/>
  <c r="N40" i="4"/>
  <c r="O40" i="4" s="1"/>
  <c r="P40" i="4" s="1"/>
  <c r="G40" i="4"/>
  <c r="I40" i="4" s="1"/>
  <c r="S39" i="4"/>
  <c r="N39" i="4"/>
  <c r="O39" i="4" s="1"/>
  <c r="Q39" i="4" s="1"/>
  <c r="R39" i="4" s="1"/>
  <c r="G39" i="4"/>
  <c r="I39" i="4" s="1"/>
  <c r="L39" i="4" s="1"/>
  <c r="S38" i="4"/>
  <c r="O38" i="4"/>
  <c r="G38" i="4"/>
  <c r="I38" i="4" s="1"/>
  <c r="S37" i="4"/>
  <c r="N37" i="4"/>
  <c r="O37" i="4" s="1"/>
  <c r="P37" i="4" s="1"/>
  <c r="G37" i="4"/>
  <c r="I37" i="4" s="1"/>
  <c r="L37" i="4" s="1"/>
  <c r="S36" i="4"/>
  <c r="N36" i="4"/>
  <c r="O36" i="4" s="1"/>
  <c r="Q36" i="4" s="1"/>
  <c r="G36" i="4"/>
  <c r="I36" i="4" s="1"/>
  <c r="L36" i="4" s="1"/>
  <c r="S35" i="4"/>
  <c r="N35" i="4"/>
  <c r="O35" i="4" s="1"/>
  <c r="Q35" i="4" s="1"/>
  <c r="R35" i="4" s="1"/>
  <c r="G35" i="4"/>
  <c r="I35" i="4" s="1"/>
  <c r="L35" i="4" s="1"/>
  <c r="S34" i="4"/>
  <c r="N34" i="4"/>
  <c r="O34" i="4" s="1"/>
  <c r="G34" i="4"/>
  <c r="I34" i="4" s="1"/>
  <c r="S33" i="4"/>
  <c r="N33" i="4"/>
  <c r="O33" i="4" s="1"/>
  <c r="G33" i="4"/>
  <c r="I33" i="4" s="1"/>
  <c r="S32" i="4"/>
  <c r="N32" i="4"/>
  <c r="O32" i="4" s="1"/>
  <c r="P32" i="4" s="1"/>
  <c r="G32" i="4"/>
  <c r="I32" i="4" s="1"/>
  <c r="S31" i="4"/>
  <c r="N31" i="4"/>
  <c r="O31" i="4" s="1"/>
  <c r="Q31" i="4" s="1"/>
  <c r="R31" i="4" s="1"/>
  <c r="G31" i="4"/>
  <c r="I31" i="4" s="1"/>
  <c r="L31" i="4" s="1"/>
  <c r="S30" i="4"/>
  <c r="O30" i="4"/>
  <c r="G30" i="4"/>
  <c r="I30" i="4" s="1"/>
  <c r="S29" i="4"/>
  <c r="N29" i="4"/>
  <c r="O29" i="4" s="1"/>
  <c r="P29" i="4" s="1"/>
  <c r="G29" i="4"/>
  <c r="I29" i="4" s="1"/>
  <c r="L29" i="4" s="1"/>
  <c r="S28" i="4"/>
  <c r="N28" i="4"/>
  <c r="O28" i="4" s="1"/>
  <c r="G28" i="4"/>
  <c r="I28" i="4" s="1"/>
  <c r="S27" i="4"/>
  <c r="N27" i="4"/>
  <c r="O27" i="4" s="1"/>
  <c r="G27" i="4"/>
  <c r="I27" i="4" s="1"/>
  <c r="L27" i="4" s="1"/>
  <c r="S26" i="4"/>
  <c r="N26" i="4"/>
  <c r="O26" i="4" s="1"/>
  <c r="P26" i="4" s="1"/>
  <c r="G26" i="4"/>
  <c r="I26" i="4" s="1"/>
  <c r="S25" i="4"/>
  <c r="N25" i="4"/>
  <c r="O25" i="4" s="1"/>
  <c r="P25" i="4" s="1"/>
  <c r="G25" i="4"/>
  <c r="I25" i="4" s="1"/>
  <c r="L25" i="4" s="1"/>
  <c r="S24" i="4"/>
  <c r="N24" i="4"/>
  <c r="O24" i="4" s="1"/>
  <c r="Q24" i="4" s="1"/>
  <c r="G24" i="4"/>
  <c r="I24" i="4" s="1"/>
  <c r="L24" i="4" s="1"/>
  <c r="O23" i="4"/>
  <c r="P23" i="4" s="1"/>
  <c r="G23" i="4"/>
  <c r="I23" i="4" s="1"/>
  <c r="L23" i="4" s="1"/>
  <c r="S22" i="4"/>
  <c r="N22" i="4"/>
  <c r="O22" i="4" s="1"/>
  <c r="G22" i="4"/>
  <c r="I22" i="4" s="1"/>
  <c r="S21" i="4"/>
  <c r="N21" i="4"/>
  <c r="O21" i="4" s="1"/>
  <c r="G21" i="4"/>
  <c r="I21" i="4" s="1"/>
  <c r="L21" i="4" s="1"/>
  <c r="O20" i="4"/>
  <c r="Q20" i="4" s="1"/>
  <c r="G20" i="4"/>
  <c r="I20" i="4" s="1"/>
  <c r="L20" i="4" s="1"/>
  <c r="S19" i="4"/>
  <c r="O19" i="4"/>
  <c r="G19" i="4"/>
  <c r="I19" i="4" s="1"/>
  <c r="L19" i="4" s="1"/>
  <c r="S18" i="4"/>
  <c r="N18" i="4"/>
  <c r="O18" i="4" s="1"/>
  <c r="P18" i="4" s="1"/>
  <c r="G18" i="4"/>
  <c r="I18" i="4" s="1"/>
  <c r="S17" i="4"/>
  <c r="N17" i="4"/>
  <c r="O17" i="4" s="1"/>
  <c r="G17" i="4"/>
  <c r="I17" i="4" s="1"/>
  <c r="L17" i="4" s="1"/>
  <c r="S16" i="4"/>
  <c r="O16" i="4"/>
  <c r="P16" i="4" s="1"/>
  <c r="G16" i="4"/>
  <c r="I16" i="4" s="1"/>
  <c r="L16" i="4" s="1"/>
  <c r="S15" i="4"/>
  <c r="N15" i="4"/>
  <c r="O15" i="4" s="1"/>
  <c r="G15" i="4"/>
  <c r="I15" i="4" s="1"/>
  <c r="S14" i="4"/>
  <c r="O14" i="4"/>
  <c r="Q14" i="4" s="1"/>
  <c r="R14" i="4" s="1"/>
  <c r="G14" i="4"/>
  <c r="I14" i="4" s="1"/>
  <c r="L14" i="4" s="1"/>
  <c r="S13" i="4"/>
  <c r="O13" i="4"/>
  <c r="Q13" i="4" s="1"/>
  <c r="R13" i="4" s="1"/>
  <c r="G13" i="4"/>
  <c r="I13" i="4" s="1"/>
  <c r="L13" i="4" s="1"/>
  <c r="S12" i="4"/>
  <c r="N12" i="4"/>
  <c r="O12" i="4" s="1"/>
  <c r="P12" i="4" s="1"/>
  <c r="G12" i="4"/>
  <c r="I12" i="4" s="1"/>
  <c r="L12" i="4" s="1"/>
  <c r="S11" i="4"/>
  <c r="O11" i="4"/>
  <c r="P11" i="4" s="1"/>
  <c r="G11" i="4"/>
  <c r="I11" i="4" s="1"/>
  <c r="S10" i="4"/>
  <c r="N10" i="4"/>
  <c r="O10" i="4" s="1"/>
  <c r="G10" i="4"/>
  <c r="I10" i="4" s="1"/>
  <c r="L10" i="4" s="1"/>
  <c r="S9" i="4"/>
  <c r="N9" i="4"/>
  <c r="O9" i="4" s="1"/>
  <c r="P9" i="4" s="1"/>
  <c r="G9" i="4"/>
  <c r="I9" i="4" s="1"/>
  <c r="L9" i="4" s="1"/>
  <c r="S8" i="4"/>
  <c r="N8" i="4"/>
  <c r="O8" i="4" s="1"/>
  <c r="Q8" i="4" s="1"/>
  <c r="G8" i="4"/>
  <c r="I8" i="4" s="1"/>
  <c r="L8" i="4" s="1"/>
  <c r="S7" i="4"/>
  <c r="N7" i="4"/>
  <c r="O7" i="4" s="1"/>
  <c r="Q7" i="4" s="1"/>
  <c r="G7" i="4"/>
  <c r="I7" i="4" s="1"/>
  <c r="S6" i="4"/>
  <c r="N6" i="4"/>
  <c r="O6" i="4" s="1"/>
  <c r="Q6" i="4" s="1"/>
  <c r="R6" i="4" s="1"/>
  <c r="G6" i="4"/>
  <c r="I6" i="4" s="1"/>
  <c r="L6" i="4" s="1"/>
  <c r="O5" i="4"/>
  <c r="Q5" i="4" s="1"/>
  <c r="R5" i="4" s="1"/>
  <c r="V5" i="4" s="1"/>
  <c r="G5" i="4"/>
  <c r="I5" i="4" s="1"/>
  <c r="L5" i="4" s="1"/>
  <c r="L45" i="4" l="1"/>
  <c r="U45" i="4" s="1"/>
  <c r="U14" i="4"/>
  <c r="U32" i="4"/>
  <c r="L28" i="4"/>
  <c r="U28" i="4" s="1"/>
  <c r="V6" i="4"/>
  <c r="U9" i="4"/>
  <c r="U13" i="4"/>
  <c r="V14" i="4"/>
  <c r="U17" i="4"/>
  <c r="R44" i="4"/>
  <c r="V44" i="4" s="1"/>
  <c r="R36" i="4"/>
  <c r="V36" i="4" s="1"/>
  <c r="R24" i="4"/>
  <c r="V24" i="4" s="1"/>
  <c r="R20" i="4"/>
  <c r="V20" i="4" s="1"/>
  <c r="R8" i="4"/>
  <c r="V8" i="4" s="1"/>
  <c r="U25" i="4"/>
  <c r="U29" i="4"/>
  <c r="U37" i="4"/>
  <c r="L41" i="4"/>
  <c r="U41" i="4" s="1"/>
  <c r="L33" i="4"/>
  <c r="U33" i="4" s="1"/>
  <c r="U6" i="4"/>
  <c r="U10" i="4"/>
  <c r="U21" i="4"/>
  <c r="U36" i="4"/>
  <c r="U44" i="4"/>
  <c r="U48" i="4"/>
  <c r="R41" i="4"/>
  <c r="V41" i="4" s="1"/>
  <c r="L52" i="4"/>
  <c r="U52" i="4" s="1"/>
  <c r="L40" i="4"/>
  <c r="U40" i="4" s="1"/>
  <c r="L32" i="4"/>
  <c r="U8" i="4"/>
  <c r="U12" i="4"/>
  <c r="V13" i="4"/>
  <c r="U16" i="4"/>
  <c r="U20" i="4"/>
  <c r="U23" i="4"/>
  <c r="U49" i="4"/>
  <c r="U55" i="4"/>
  <c r="R7" i="4"/>
  <c r="V7" i="4" s="1"/>
  <c r="L15" i="4"/>
  <c r="U15" i="4" s="1"/>
  <c r="L11" i="4"/>
  <c r="U11" i="4" s="1"/>
  <c r="L7" i="4"/>
  <c r="U7" i="4" s="1"/>
  <c r="L54" i="4"/>
  <c r="U54" i="4" s="1"/>
  <c r="L46" i="4"/>
  <c r="U46" i="4" s="1"/>
  <c r="L42" i="4"/>
  <c r="U42" i="4" s="1"/>
  <c r="L38" i="4"/>
  <c r="U38" i="4" s="1"/>
  <c r="L34" i="4"/>
  <c r="U34" i="4" s="1"/>
  <c r="L30" i="4"/>
  <c r="U30" i="4" s="1"/>
  <c r="L26" i="4"/>
  <c r="U26" i="4" s="1"/>
  <c r="L22" i="4"/>
  <c r="U22" i="4" s="1"/>
  <c r="L18" i="4"/>
  <c r="U18" i="4" s="1"/>
  <c r="U56" i="4"/>
  <c r="L57" i="5"/>
  <c r="U57" i="5"/>
  <c r="R57" i="5"/>
  <c r="V5" i="5"/>
  <c r="V57" i="5" s="1"/>
  <c r="U19" i="4"/>
  <c r="U51" i="4"/>
  <c r="U27" i="4"/>
  <c r="U31" i="4"/>
  <c r="U35" i="4"/>
  <c r="U39" i="4"/>
  <c r="U43" i="4"/>
  <c r="U47" i="4"/>
  <c r="U50" i="4"/>
  <c r="V55" i="4"/>
  <c r="V51" i="4"/>
  <c r="V31" i="4"/>
  <c r="V35" i="4"/>
  <c r="V39" i="4"/>
  <c r="V47" i="4"/>
  <c r="V49" i="4"/>
  <c r="U24" i="4"/>
  <c r="Q12" i="4"/>
  <c r="P5" i="4"/>
  <c r="P13" i="4"/>
  <c r="P20" i="4"/>
  <c r="Q32" i="4"/>
  <c r="P8" i="4"/>
  <c r="P36" i="4"/>
  <c r="P39" i="4"/>
  <c r="Q11" i="4"/>
  <c r="Q18" i="4"/>
  <c r="Q23" i="4"/>
  <c r="Q25" i="4"/>
  <c r="Q29" i="4"/>
  <c r="Q42" i="4"/>
  <c r="P7" i="4"/>
  <c r="P14" i="4"/>
  <c r="P24" i="4"/>
  <c r="Q48" i="4"/>
  <c r="P49" i="4"/>
  <c r="Q9" i="4"/>
  <c r="Q37" i="4"/>
  <c r="P47" i="4"/>
  <c r="Q10" i="4"/>
  <c r="P10" i="4"/>
  <c r="U5" i="4"/>
  <c r="Q17" i="4"/>
  <c r="P17" i="4"/>
  <c r="P33" i="4"/>
  <c r="Q33" i="4"/>
  <c r="P6" i="4"/>
  <c r="Q15" i="4"/>
  <c r="P15" i="4"/>
  <c r="Q21" i="4"/>
  <c r="P21" i="4"/>
  <c r="Q26" i="4"/>
  <c r="Q27" i="4"/>
  <c r="P27" i="4"/>
  <c r="Q34" i="4"/>
  <c r="P34" i="4"/>
  <c r="Q50" i="4"/>
  <c r="P50" i="4"/>
  <c r="Q52" i="4"/>
  <c r="P52" i="4"/>
  <c r="Q56" i="4"/>
  <c r="P56" i="4"/>
  <c r="Q22" i="4"/>
  <c r="P22" i="4"/>
  <c r="Q28" i="4"/>
  <c r="P28" i="4"/>
  <c r="P31" i="4"/>
  <c r="Q38" i="4"/>
  <c r="P38" i="4"/>
  <c r="P41" i="4"/>
  <c r="Q43" i="4"/>
  <c r="P43" i="4"/>
  <c r="Q45" i="4"/>
  <c r="P45" i="4"/>
  <c r="Q19" i="4"/>
  <c r="P19" i="4"/>
  <c r="P46" i="4"/>
  <c r="Q46" i="4"/>
  <c r="Q30" i="4"/>
  <c r="P30" i="4"/>
  <c r="Q16" i="4"/>
  <c r="P35" i="4"/>
  <c r="Q40" i="4"/>
  <c r="P44" i="4"/>
  <c r="P51" i="4"/>
  <c r="Q54" i="4"/>
  <c r="P55" i="4"/>
  <c r="R58" i="1"/>
  <c r="L58" i="1"/>
  <c r="N54" i="3"/>
  <c r="N55" i="3"/>
  <c r="G54" i="3"/>
  <c r="I54" i="3" s="1"/>
  <c r="L54" i="3" s="1"/>
  <c r="U54" i="3" s="1"/>
  <c r="O54" i="3"/>
  <c r="P54" i="3" s="1"/>
  <c r="S54" i="3"/>
  <c r="G55" i="3"/>
  <c r="I55" i="3" s="1"/>
  <c r="L55" i="3" s="1"/>
  <c r="U55" i="3" s="1"/>
  <c r="O55" i="3"/>
  <c r="Q55" i="3" s="1"/>
  <c r="R55" i="3" s="1"/>
  <c r="V55" i="3" s="1"/>
  <c r="S55" i="3"/>
  <c r="L58" i="4" l="1"/>
  <c r="R16" i="4"/>
  <c r="V16" i="4" s="1"/>
  <c r="R45" i="4"/>
  <c r="V45" i="4" s="1"/>
  <c r="R28" i="4"/>
  <c r="V28" i="4" s="1"/>
  <c r="R50" i="4"/>
  <c r="V50" i="4" s="1"/>
  <c r="R27" i="4"/>
  <c r="V27" i="4" s="1"/>
  <c r="R40" i="4"/>
  <c r="V40" i="4" s="1"/>
  <c r="R30" i="4"/>
  <c r="V30" i="4" s="1"/>
  <c r="R19" i="4"/>
  <c r="V19" i="4" s="1"/>
  <c r="R43" i="4"/>
  <c r="V43" i="4" s="1"/>
  <c r="R22" i="4"/>
  <c r="V22" i="4" s="1"/>
  <c r="R52" i="4"/>
  <c r="V52" i="4" s="1"/>
  <c r="R34" i="4"/>
  <c r="V34" i="4" s="1"/>
  <c r="R17" i="4"/>
  <c r="V17" i="4" s="1"/>
  <c r="R10" i="4"/>
  <c r="V10" i="4" s="1"/>
  <c r="R23" i="4"/>
  <c r="V23" i="4" s="1"/>
  <c r="R54" i="4"/>
  <c r="V54" i="4" s="1"/>
  <c r="R46" i="4"/>
  <c r="V46" i="4" s="1"/>
  <c r="R21" i="4"/>
  <c r="V21" i="4" s="1"/>
  <c r="R33" i="4"/>
  <c r="V33" i="4" s="1"/>
  <c r="R48" i="4"/>
  <c r="V48" i="4" s="1"/>
  <c r="R42" i="4"/>
  <c r="V42" i="4" s="1"/>
  <c r="R18" i="4"/>
  <c r="V18" i="4" s="1"/>
  <c r="R37" i="4"/>
  <c r="V37" i="4" s="1"/>
  <c r="R29" i="4"/>
  <c r="V29" i="4" s="1"/>
  <c r="R11" i="4"/>
  <c r="V11" i="4" s="1"/>
  <c r="R32" i="4"/>
  <c r="V32" i="4" s="1"/>
  <c r="R12" i="4"/>
  <c r="V12" i="4" s="1"/>
  <c r="R38" i="4"/>
  <c r="V38" i="4" s="1"/>
  <c r="R26" i="4"/>
  <c r="V26" i="4" s="1"/>
  <c r="R15" i="4"/>
  <c r="V15" i="4" s="1"/>
  <c r="R9" i="4"/>
  <c r="V9" i="4" s="1"/>
  <c r="R25" i="4"/>
  <c r="V25" i="4" s="1"/>
  <c r="R56" i="4"/>
  <c r="V56" i="4" s="1"/>
  <c r="U58" i="4"/>
  <c r="P55" i="3"/>
  <c r="Q54" i="3"/>
  <c r="R54" i="3" s="1"/>
  <c r="V54" i="3" s="1"/>
  <c r="T58" i="3"/>
  <c r="S56" i="3"/>
  <c r="N56" i="3"/>
  <c r="O56" i="3" s="1"/>
  <c r="G56" i="3"/>
  <c r="I56" i="3" s="1"/>
  <c r="L56" i="3" s="1"/>
  <c r="U56" i="3" s="1"/>
  <c r="S53" i="3"/>
  <c r="O53" i="3"/>
  <c r="G53" i="3"/>
  <c r="I53" i="3" s="1"/>
  <c r="L53" i="3" s="1"/>
  <c r="U53" i="3" s="1"/>
  <c r="S52" i="3"/>
  <c r="N52" i="3"/>
  <c r="O52" i="3" s="1"/>
  <c r="G52" i="3"/>
  <c r="I52" i="3" s="1"/>
  <c r="L52" i="3" s="1"/>
  <c r="U52" i="3" s="1"/>
  <c r="S51" i="3"/>
  <c r="N51" i="3"/>
  <c r="O51" i="3" s="1"/>
  <c r="G51" i="3"/>
  <c r="I51" i="3" s="1"/>
  <c r="L51" i="3" s="1"/>
  <c r="U51" i="3" s="1"/>
  <c r="S50" i="3"/>
  <c r="O50" i="3"/>
  <c r="G50" i="3"/>
  <c r="I50" i="3" s="1"/>
  <c r="L50" i="3" s="1"/>
  <c r="U50" i="3" s="1"/>
  <c r="S49" i="3"/>
  <c r="O49" i="3"/>
  <c r="G49" i="3"/>
  <c r="I49" i="3" s="1"/>
  <c r="L49" i="3" s="1"/>
  <c r="U49" i="3" s="1"/>
  <c r="O48" i="3"/>
  <c r="G48" i="3"/>
  <c r="I48" i="3" s="1"/>
  <c r="L48" i="3" s="1"/>
  <c r="U48" i="3" s="1"/>
  <c r="S47" i="3"/>
  <c r="O47" i="3"/>
  <c r="G47" i="3"/>
  <c r="I47" i="3" s="1"/>
  <c r="L47" i="3" s="1"/>
  <c r="U47" i="3" s="1"/>
  <c r="S46" i="3"/>
  <c r="N46" i="3"/>
  <c r="O46" i="3" s="1"/>
  <c r="G46" i="3"/>
  <c r="I46" i="3" s="1"/>
  <c r="L46" i="3" s="1"/>
  <c r="U46" i="3" s="1"/>
  <c r="S45" i="3"/>
  <c r="N45" i="3"/>
  <c r="O45" i="3" s="1"/>
  <c r="G45" i="3"/>
  <c r="I45" i="3" s="1"/>
  <c r="L45" i="3" s="1"/>
  <c r="U45" i="3" s="1"/>
  <c r="S44" i="3"/>
  <c r="N44" i="3"/>
  <c r="O44" i="3" s="1"/>
  <c r="G44" i="3"/>
  <c r="I44" i="3" s="1"/>
  <c r="L44" i="3" s="1"/>
  <c r="U44" i="3" s="1"/>
  <c r="S43" i="3"/>
  <c r="O43" i="3"/>
  <c r="G43" i="3"/>
  <c r="I43" i="3" s="1"/>
  <c r="L43" i="3" s="1"/>
  <c r="U43" i="3" s="1"/>
  <c r="S42" i="3"/>
  <c r="N42" i="3"/>
  <c r="O42" i="3" s="1"/>
  <c r="G42" i="3"/>
  <c r="I42" i="3" s="1"/>
  <c r="L42" i="3" s="1"/>
  <c r="U42" i="3" s="1"/>
  <c r="S41" i="3"/>
  <c r="O41" i="3"/>
  <c r="G41" i="3"/>
  <c r="I41" i="3" s="1"/>
  <c r="L41" i="3" s="1"/>
  <c r="U41" i="3" s="1"/>
  <c r="S40" i="3"/>
  <c r="N40" i="3"/>
  <c r="O40" i="3" s="1"/>
  <c r="G40" i="3"/>
  <c r="I40" i="3" s="1"/>
  <c r="L40" i="3" s="1"/>
  <c r="U40" i="3" s="1"/>
  <c r="S39" i="3"/>
  <c r="N39" i="3"/>
  <c r="O39" i="3" s="1"/>
  <c r="G39" i="3"/>
  <c r="I39" i="3" s="1"/>
  <c r="L39" i="3" s="1"/>
  <c r="U39" i="3" s="1"/>
  <c r="S38" i="3"/>
  <c r="O38" i="3"/>
  <c r="G38" i="3"/>
  <c r="I38" i="3" s="1"/>
  <c r="L38" i="3" s="1"/>
  <c r="U38" i="3" s="1"/>
  <c r="S37" i="3"/>
  <c r="N37" i="3"/>
  <c r="O37" i="3" s="1"/>
  <c r="G37" i="3"/>
  <c r="I37" i="3" s="1"/>
  <c r="L37" i="3" s="1"/>
  <c r="U37" i="3" s="1"/>
  <c r="S36" i="3"/>
  <c r="N36" i="3"/>
  <c r="O36" i="3" s="1"/>
  <c r="G36" i="3"/>
  <c r="I36" i="3" s="1"/>
  <c r="L36" i="3" s="1"/>
  <c r="U36" i="3" s="1"/>
  <c r="S35" i="3"/>
  <c r="N35" i="3"/>
  <c r="O35" i="3" s="1"/>
  <c r="G35" i="3"/>
  <c r="I35" i="3" s="1"/>
  <c r="L35" i="3" s="1"/>
  <c r="U35" i="3" s="1"/>
  <c r="S34" i="3"/>
  <c r="N34" i="3"/>
  <c r="O34" i="3" s="1"/>
  <c r="G34" i="3"/>
  <c r="I34" i="3" s="1"/>
  <c r="L34" i="3" s="1"/>
  <c r="U34" i="3" s="1"/>
  <c r="S33" i="3"/>
  <c r="N33" i="3"/>
  <c r="O33" i="3" s="1"/>
  <c r="G33" i="3"/>
  <c r="I33" i="3" s="1"/>
  <c r="L33" i="3" s="1"/>
  <c r="U33" i="3" s="1"/>
  <c r="S32" i="3"/>
  <c r="N32" i="3"/>
  <c r="O32" i="3" s="1"/>
  <c r="G32" i="3"/>
  <c r="I32" i="3" s="1"/>
  <c r="L32" i="3" s="1"/>
  <c r="U32" i="3" s="1"/>
  <c r="S31" i="3"/>
  <c r="N31" i="3"/>
  <c r="O31" i="3" s="1"/>
  <c r="G31" i="3"/>
  <c r="I31" i="3" s="1"/>
  <c r="L31" i="3" s="1"/>
  <c r="U31" i="3" s="1"/>
  <c r="S30" i="3"/>
  <c r="O30" i="3"/>
  <c r="G30" i="3"/>
  <c r="I30" i="3" s="1"/>
  <c r="L30" i="3" s="1"/>
  <c r="U30" i="3" s="1"/>
  <c r="S29" i="3"/>
  <c r="N29" i="3"/>
  <c r="O29" i="3" s="1"/>
  <c r="G29" i="3"/>
  <c r="I29" i="3" s="1"/>
  <c r="L29" i="3" s="1"/>
  <c r="U29" i="3" s="1"/>
  <c r="S28" i="3"/>
  <c r="N28" i="3"/>
  <c r="O28" i="3" s="1"/>
  <c r="G28" i="3"/>
  <c r="I28" i="3" s="1"/>
  <c r="L28" i="3" s="1"/>
  <c r="U28" i="3" s="1"/>
  <c r="S27" i="3"/>
  <c r="N27" i="3"/>
  <c r="O27" i="3" s="1"/>
  <c r="G27" i="3"/>
  <c r="I27" i="3" s="1"/>
  <c r="L27" i="3" s="1"/>
  <c r="U27" i="3" s="1"/>
  <c r="S26" i="3"/>
  <c r="N26" i="3"/>
  <c r="O26" i="3" s="1"/>
  <c r="G26" i="3"/>
  <c r="I26" i="3" s="1"/>
  <c r="L26" i="3" s="1"/>
  <c r="U26" i="3" s="1"/>
  <c r="S25" i="3"/>
  <c r="N25" i="3"/>
  <c r="O25" i="3" s="1"/>
  <c r="G25" i="3"/>
  <c r="I25" i="3" s="1"/>
  <c r="L25" i="3" s="1"/>
  <c r="U25" i="3" s="1"/>
  <c r="S24" i="3"/>
  <c r="N24" i="3"/>
  <c r="O24" i="3" s="1"/>
  <c r="G24" i="3"/>
  <c r="I24" i="3" s="1"/>
  <c r="L24" i="3" s="1"/>
  <c r="U24" i="3" s="1"/>
  <c r="O23" i="3"/>
  <c r="G23" i="3"/>
  <c r="I23" i="3" s="1"/>
  <c r="L23" i="3" s="1"/>
  <c r="U23" i="3" s="1"/>
  <c r="S22" i="3"/>
  <c r="N22" i="3"/>
  <c r="O22" i="3" s="1"/>
  <c r="G22" i="3"/>
  <c r="I22" i="3" s="1"/>
  <c r="L22" i="3" s="1"/>
  <c r="U22" i="3" s="1"/>
  <c r="S21" i="3"/>
  <c r="N21" i="3"/>
  <c r="O21" i="3" s="1"/>
  <c r="G21" i="3"/>
  <c r="I21" i="3" s="1"/>
  <c r="L21" i="3" s="1"/>
  <c r="U21" i="3" s="1"/>
  <c r="O20" i="3"/>
  <c r="G20" i="3"/>
  <c r="I20" i="3" s="1"/>
  <c r="L20" i="3" s="1"/>
  <c r="U20" i="3" s="1"/>
  <c r="S19" i="3"/>
  <c r="O19" i="3"/>
  <c r="G19" i="3"/>
  <c r="I19" i="3" s="1"/>
  <c r="L19" i="3" s="1"/>
  <c r="U19" i="3" s="1"/>
  <c r="S18" i="3"/>
  <c r="N18" i="3"/>
  <c r="O18" i="3" s="1"/>
  <c r="G18" i="3"/>
  <c r="I18" i="3" s="1"/>
  <c r="L18" i="3" s="1"/>
  <c r="U18" i="3" s="1"/>
  <c r="S17" i="3"/>
  <c r="N17" i="3"/>
  <c r="O17" i="3" s="1"/>
  <c r="G17" i="3"/>
  <c r="I17" i="3" s="1"/>
  <c r="L17" i="3" s="1"/>
  <c r="U17" i="3" s="1"/>
  <c r="S16" i="3"/>
  <c r="O16" i="3"/>
  <c r="G16" i="3"/>
  <c r="I16" i="3" s="1"/>
  <c r="L16" i="3" s="1"/>
  <c r="U16" i="3" s="1"/>
  <c r="S15" i="3"/>
  <c r="N15" i="3"/>
  <c r="O15" i="3" s="1"/>
  <c r="G15" i="3"/>
  <c r="I15" i="3" s="1"/>
  <c r="L15" i="3" s="1"/>
  <c r="U15" i="3" s="1"/>
  <c r="S14" i="3"/>
  <c r="O14" i="3"/>
  <c r="G14" i="3"/>
  <c r="I14" i="3" s="1"/>
  <c r="L14" i="3" s="1"/>
  <c r="U14" i="3" s="1"/>
  <c r="S13" i="3"/>
  <c r="O13" i="3"/>
  <c r="G13" i="3"/>
  <c r="I13" i="3" s="1"/>
  <c r="L13" i="3" s="1"/>
  <c r="U13" i="3" s="1"/>
  <c r="S12" i="3"/>
  <c r="N12" i="3"/>
  <c r="O12" i="3" s="1"/>
  <c r="G12" i="3"/>
  <c r="I12" i="3" s="1"/>
  <c r="L12" i="3" s="1"/>
  <c r="U12" i="3" s="1"/>
  <c r="S11" i="3"/>
  <c r="O11" i="3"/>
  <c r="G11" i="3"/>
  <c r="I11" i="3" s="1"/>
  <c r="L11" i="3" s="1"/>
  <c r="U11" i="3" s="1"/>
  <c r="S10" i="3"/>
  <c r="N10" i="3"/>
  <c r="O10" i="3" s="1"/>
  <c r="G10" i="3"/>
  <c r="I10" i="3" s="1"/>
  <c r="L10" i="3" s="1"/>
  <c r="U10" i="3" s="1"/>
  <c r="S9" i="3"/>
  <c r="N9" i="3"/>
  <c r="O9" i="3" s="1"/>
  <c r="G9" i="3"/>
  <c r="I9" i="3" s="1"/>
  <c r="L9" i="3" s="1"/>
  <c r="U9" i="3" s="1"/>
  <c r="S8" i="3"/>
  <c r="N8" i="3"/>
  <c r="O8" i="3" s="1"/>
  <c r="G8" i="3"/>
  <c r="I8" i="3" s="1"/>
  <c r="L8" i="3" s="1"/>
  <c r="U8" i="3" s="1"/>
  <c r="S7" i="3"/>
  <c r="N7" i="3"/>
  <c r="O7" i="3" s="1"/>
  <c r="G7" i="3"/>
  <c r="I7" i="3" s="1"/>
  <c r="L7" i="3" s="1"/>
  <c r="U7" i="3" s="1"/>
  <c r="S6" i="3"/>
  <c r="N6" i="3"/>
  <c r="O6" i="3" s="1"/>
  <c r="G6" i="3"/>
  <c r="I6" i="3" s="1"/>
  <c r="L6" i="3" s="1"/>
  <c r="U6" i="3" s="1"/>
  <c r="O5" i="3"/>
  <c r="G5" i="3"/>
  <c r="I5" i="3" s="1"/>
  <c r="L5" i="3" s="1"/>
  <c r="V58" i="4" l="1"/>
  <c r="R58" i="4"/>
  <c r="U5" i="3"/>
  <c r="L58" i="3"/>
  <c r="Q16" i="3"/>
  <c r="R16" i="3" s="1"/>
  <c r="V16" i="3" s="1"/>
  <c r="P16" i="3"/>
  <c r="Q23" i="3"/>
  <c r="R23" i="3" s="1"/>
  <c r="V23" i="3" s="1"/>
  <c r="P23" i="3"/>
  <c r="Q26" i="3"/>
  <c r="R26" i="3" s="1"/>
  <c r="V26" i="3" s="1"/>
  <c r="P26" i="3"/>
  <c r="Q38" i="3"/>
  <c r="P38" i="3"/>
  <c r="Q42" i="3"/>
  <c r="R42" i="3" s="1"/>
  <c r="V42" i="3" s="1"/>
  <c r="P42" i="3"/>
  <c r="Q46" i="3"/>
  <c r="R46" i="3" s="1"/>
  <c r="V46" i="3" s="1"/>
  <c r="P46" i="3"/>
  <c r="Q5" i="3"/>
  <c r="R5" i="3" s="1"/>
  <c r="P5" i="3"/>
  <c r="Q19" i="3"/>
  <c r="R19" i="3" s="1"/>
  <c r="V19" i="3" s="1"/>
  <c r="P19" i="3"/>
  <c r="Q25" i="3"/>
  <c r="R25" i="3" s="1"/>
  <c r="V25" i="3" s="1"/>
  <c r="P25" i="3"/>
  <c r="Q29" i="3"/>
  <c r="R29" i="3" s="1"/>
  <c r="V29" i="3" s="1"/>
  <c r="P29" i="3"/>
  <c r="Q33" i="3"/>
  <c r="R33" i="3" s="1"/>
  <c r="V33" i="3" s="1"/>
  <c r="P33" i="3"/>
  <c r="Q37" i="3"/>
  <c r="R37" i="3" s="1"/>
  <c r="V37" i="3" s="1"/>
  <c r="P37" i="3"/>
  <c r="Q41" i="3"/>
  <c r="R41" i="3" s="1"/>
  <c r="V41" i="3" s="1"/>
  <c r="P41" i="3"/>
  <c r="Q45" i="3"/>
  <c r="R45" i="3" s="1"/>
  <c r="V45" i="3" s="1"/>
  <c r="P45" i="3"/>
  <c r="Q56" i="3"/>
  <c r="R56" i="3" s="1"/>
  <c r="V56" i="3" s="1"/>
  <c r="P56" i="3"/>
  <c r="Q7" i="3"/>
  <c r="R7" i="3" s="1"/>
  <c r="V7" i="3" s="1"/>
  <c r="P7" i="3"/>
  <c r="Q14" i="3"/>
  <c r="R14" i="3" s="1"/>
  <c r="V14" i="3" s="1"/>
  <c r="P14" i="3"/>
  <c r="Q18" i="3"/>
  <c r="R18" i="3" s="1"/>
  <c r="V18" i="3" s="1"/>
  <c r="P18" i="3"/>
  <c r="Q21" i="3"/>
  <c r="R21" i="3" s="1"/>
  <c r="V21" i="3" s="1"/>
  <c r="P21" i="3"/>
  <c r="Q24" i="3"/>
  <c r="R24" i="3" s="1"/>
  <c r="V24" i="3" s="1"/>
  <c r="P24" i="3"/>
  <c r="Q28" i="3"/>
  <c r="R28" i="3" s="1"/>
  <c r="V28" i="3" s="1"/>
  <c r="P28" i="3"/>
  <c r="Q32" i="3"/>
  <c r="R32" i="3" s="1"/>
  <c r="V32" i="3" s="1"/>
  <c r="P32" i="3"/>
  <c r="Q36" i="3"/>
  <c r="R36" i="3" s="1"/>
  <c r="V36" i="3" s="1"/>
  <c r="P36" i="3"/>
  <c r="Q40" i="3"/>
  <c r="R40" i="3" s="1"/>
  <c r="V40" i="3" s="1"/>
  <c r="P40" i="3"/>
  <c r="Q44" i="3"/>
  <c r="R44" i="3" s="1"/>
  <c r="V44" i="3" s="1"/>
  <c r="P44" i="3"/>
  <c r="Q48" i="3"/>
  <c r="R48" i="3" s="1"/>
  <c r="V48" i="3" s="1"/>
  <c r="P48" i="3"/>
  <c r="Q51" i="3"/>
  <c r="R51" i="3" s="1"/>
  <c r="V51" i="3" s="1"/>
  <c r="P51" i="3"/>
  <c r="Q52" i="3"/>
  <c r="R52" i="3" s="1"/>
  <c r="V52" i="3" s="1"/>
  <c r="P52" i="3"/>
  <c r="Q53" i="3"/>
  <c r="R53" i="3" s="1"/>
  <c r="V53" i="3" s="1"/>
  <c r="P53" i="3"/>
  <c r="Q9" i="3"/>
  <c r="R9" i="3" s="1"/>
  <c r="V9" i="3" s="1"/>
  <c r="P9" i="3"/>
  <c r="Q12" i="3"/>
  <c r="R12" i="3" s="1"/>
  <c r="V12" i="3" s="1"/>
  <c r="P12" i="3"/>
  <c r="Q20" i="3"/>
  <c r="R20" i="3" s="1"/>
  <c r="V20" i="3" s="1"/>
  <c r="P20" i="3"/>
  <c r="Q30" i="3"/>
  <c r="R30" i="3" s="1"/>
  <c r="V30" i="3" s="1"/>
  <c r="P30" i="3"/>
  <c r="Q34" i="3"/>
  <c r="R34" i="3" s="1"/>
  <c r="V34" i="3" s="1"/>
  <c r="P34" i="3"/>
  <c r="Q49" i="3"/>
  <c r="R49" i="3" s="1"/>
  <c r="V49" i="3" s="1"/>
  <c r="P49" i="3"/>
  <c r="Q8" i="3"/>
  <c r="R8" i="3" s="1"/>
  <c r="V8" i="3" s="1"/>
  <c r="P8" i="3"/>
  <c r="Q11" i="3"/>
  <c r="P11" i="3"/>
  <c r="Q15" i="3"/>
  <c r="R15" i="3" s="1"/>
  <c r="V15" i="3" s="1"/>
  <c r="P15" i="3"/>
  <c r="Q22" i="3"/>
  <c r="R22" i="3" s="1"/>
  <c r="V22" i="3" s="1"/>
  <c r="P22" i="3"/>
  <c r="Q6" i="3"/>
  <c r="R6" i="3" s="1"/>
  <c r="V6" i="3" s="1"/>
  <c r="P6" i="3"/>
  <c r="Q10" i="3"/>
  <c r="R10" i="3" s="1"/>
  <c r="V10" i="3" s="1"/>
  <c r="P10" i="3"/>
  <c r="Q13" i="3"/>
  <c r="R13" i="3" s="1"/>
  <c r="V13" i="3" s="1"/>
  <c r="P13" i="3"/>
  <c r="Q17" i="3"/>
  <c r="R17" i="3" s="1"/>
  <c r="V17" i="3" s="1"/>
  <c r="P17" i="3"/>
  <c r="Q27" i="3"/>
  <c r="R27" i="3" s="1"/>
  <c r="V27" i="3" s="1"/>
  <c r="P27" i="3"/>
  <c r="Q31" i="3"/>
  <c r="R31" i="3" s="1"/>
  <c r="V31" i="3" s="1"/>
  <c r="P31" i="3"/>
  <c r="Q35" i="3"/>
  <c r="R35" i="3" s="1"/>
  <c r="V35" i="3" s="1"/>
  <c r="P35" i="3"/>
  <c r="Q39" i="3"/>
  <c r="R39" i="3" s="1"/>
  <c r="V39" i="3" s="1"/>
  <c r="P39" i="3"/>
  <c r="Q43" i="3"/>
  <c r="R43" i="3" s="1"/>
  <c r="V43" i="3" s="1"/>
  <c r="P43" i="3"/>
  <c r="Q47" i="3"/>
  <c r="R47" i="3" s="1"/>
  <c r="V47" i="3" s="1"/>
  <c r="P47" i="3"/>
  <c r="Q50" i="3"/>
  <c r="R50" i="3" s="1"/>
  <c r="V50" i="3" s="1"/>
  <c r="P50" i="3"/>
  <c r="R11" i="3"/>
  <c r="V11" i="3" s="1"/>
  <c r="R38" i="3"/>
  <c r="V38" i="3" s="1"/>
  <c r="U58" i="3"/>
  <c r="T58" i="1"/>
  <c r="V5" i="3" l="1"/>
  <c r="V58" i="3" s="1"/>
  <c r="R58" i="3"/>
  <c r="N56" i="1"/>
  <c r="O56" i="1" s="1"/>
  <c r="Q56" i="1" s="1"/>
  <c r="N53" i="1"/>
  <c r="O53" i="1" s="1"/>
  <c r="Q53" i="1" s="1"/>
  <c r="N52" i="1"/>
  <c r="O52" i="1" s="1"/>
  <c r="Q52" i="1" s="1"/>
  <c r="N47" i="1"/>
  <c r="O47" i="1" s="1"/>
  <c r="Q47" i="1" s="1"/>
  <c r="N46" i="1"/>
  <c r="O46" i="1" s="1"/>
  <c r="Q46" i="1" s="1"/>
  <c r="N45" i="1"/>
  <c r="O45" i="1" s="1"/>
  <c r="Q45" i="1" s="1"/>
  <c r="N43" i="1"/>
  <c r="O43" i="1" s="1"/>
  <c r="Q43" i="1" s="1"/>
  <c r="N41" i="1"/>
  <c r="O41" i="1" s="1"/>
  <c r="Q41" i="1" s="1"/>
  <c r="N40" i="1"/>
  <c r="O40" i="1" s="1"/>
  <c r="Q40" i="1" s="1"/>
  <c r="N38" i="1"/>
  <c r="O38" i="1" s="1"/>
  <c r="Q38" i="1" s="1"/>
  <c r="N37" i="1"/>
  <c r="O37" i="1" s="1"/>
  <c r="Q37" i="1" s="1"/>
  <c r="N36" i="1"/>
  <c r="O36" i="1" s="1"/>
  <c r="Q36" i="1" s="1"/>
  <c r="N35" i="1"/>
  <c r="O35" i="1" s="1"/>
  <c r="Q35" i="1" s="1"/>
  <c r="N34" i="1"/>
  <c r="O34" i="1" s="1"/>
  <c r="Q34" i="1" s="1"/>
  <c r="N33" i="1"/>
  <c r="O33" i="1" s="1"/>
  <c r="Q33" i="1" s="1"/>
  <c r="N32" i="1"/>
  <c r="O32" i="1" s="1"/>
  <c r="Q32" i="1" s="1"/>
  <c r="N30" i="1"/>
  <c r="O30" i="1" s="1"/>
  <c r="Q30" i="1" s="1"/>
  <c r="N29" i="1"/>
  <c r="O29" i="1" s="1"/>
  <c r="Q29" i="1" s="1"/>
  <c r="N28" i="1"/>
  <c r="O28" i="1" s="1"/>
  <c r="Q28" i="1" s="1"/>
  <c r="N27" i="1"/>
  <c r="O27" i="1" s="1"/>
  <c r="Q27" i="1" s="1"/>
  <c r="N26" i="1"/>
  <c r="O26" i="1" s="1"/>
  <c r="Q26" i="1" s="1"/>
  <c r="N25" i="1"/>
  <c r="O25" i="1" s="1"/>
  <c r="Q25" i="1" s="1"/>
  <c r="N23" i="1"/>
  <c r="O23" i="1" s="1"/>
  <c r="Q23" i="1" s="1"/>
  <c r="N22" i="1"/>
  <c r="O22" i="1" s="1"/>
  <c r="Q22" i="1" s="1"/>
  <c r="N19" i="1"/>
  <c r="O19" i="1" s="1"/>
  <c r="Q19" i="1" s="1"/>
  <c r="N18" i="1"/>
  <c r="O18" i="1" s="1"/>
  <c r="Q18" i="1" s="1"/>
  <c r="N16" i="1"/>
  <c r="O16" i="1" s="1"/>
  <c r="Q16" i="1" s="1"/>
  <c r="N13" i="1"/>
  <c r="O13" i="1" s="1"/>
  <c r="Q13" i="1" s="1"/>
  <c r="N7" i="1"/>
  <c r="O7" i="1" s="1"/>
  <c r="Q7" i="1" s="1"/>
  <c r="N8" i="1"/>
  <c r="O8" i="1" s="1"/>
  <c r="Q8" i="1" s="1"/>
  <c r="N9" i="1"/>
  <c r="O9" i="1" s="1"/>
  <c r="Q9" i="1" s="1"/>
  <c r="N10" i="1"/>
  <c r="O10" i="1" s="1"/>
  <c r="Q10" i="1" s="1"/>
  <c r="N11" i="1"/>
  <c r="O11" i="1" s="1"/>
  <c r="Q11" i="1" s="1"/>
  <c r="N6" i="1"/>
  <c r="O6" i="1" s="1"/>
  <c r="Q6" i="1" s="1"/>
  <c r="O55" i="1"/>
  <c r="Q55" i="1" s="1"/>
  <c r="R55" i="1" s="1"/>
  <c r="O51" i="1"/>
  <c r="Q51" i="1" s="1"/>
  <c r="R51" i="1" s="1"/>
  <c r="O44" i="1"/>
  <c r="Q44" i="1" s="1"/>
  <c r="R44" i="1" s="1"/>
  <c r="O15" i="1"/>
  <c r="Q15" i="1" s="1"/>
  <c r="R15" i="1" s="1"/>
  <c r="O54" i="1"/>
  <c r="Q54" i="1" s="1"/>
  <c r="R54" i="1" s="1"/>
  <c r="O50" i="1"/>
  <c r="Q50" i="1" s="1"/>
  <c r="R50" i="1" s="1"/>
  <c r="O49" i="1"/>
  <c r="Q49" i="1" s="1"/>
  <c r="R49" i="1" s="1"/>
  <c r="O48" i="1"/>
  <c r="Q48" i="1" s="1"/>
  <c r="R48" i="1" s="1"/>
  <c r="O42" i="1"/>
  <c r="Q42" i="1" s="1"/>
  <c r="R42" i="1" s="1"/>
  <c r="O39" i="1"/>
  <c r="Q39" i="1" s="1"/>
  <c r="R39" i="1" s="1"/>
  <c r="O31" i="1"/>
  <c r="Q31" i="1" s="1"/>
  <c r="R31" i="1" s="1"/>
  <c r="O24" i="1"/>
  <c r="Q24" i="1" s="1"/>
  <c r="R24" i="1" s="1"/>
  <c r="O21" i="1"/>
  <c r="Q21" i="1" s="1"/>
  <c r="R21" i="1" s="1"/>
  <c r="O20" i="1"/>
  <c r="Q20" i="1" s="1"/>
  <c r="R20" i="1" s="1"/>
  <c r="O17" i="1"/>
  <c r="Q17" i="1" s="1"/>
  <c r="R17" i="1" s="1"/>
  <c r="O14" i="1"/>
  <c r="Q14" i="1" s="1"/>
  <c r="R14" i="1" s="1"/>
  <c r="O12" i="1"/>
  <c r="Q12" i="1" s="1"/>
  <c r="R12" i="1" s="1"/>
  <c r="O5" i="1"/>
  <c r="Q5" i="1" s="1"/>
  <c r="R5" i="1" s="1"/>
  <c r="S12" i="1" l="1"/>
  <c r="S13" i="1"/>
  <c r="S14" i="1"/>
  <c r="S15" i="1"/>
  <c r="S16" i="1"/>
  <c r="S17" i="1"/>
  <c r="S18" i="1"/>
  <c r="S19" i="1"/>
  <c r="S20" i="1"/>
  <c r="S22" i="1"/>
  <c r="S23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50" i="1"/>
  <c r="S51" i="1"/>
  <c r="S52" i="1"/>
  <c r="S53" i="1"/>
  <c r="S54" i="1"/>
  <c r="S55" i="1"/>
  <c r="S56" i="1"/>
  <c r="S6" i="1"/>
  <c r="S7" i="1"/>
  <c r="S8" i="1"/>
  <c r="S9" i="1"/>
  <c r="S10" i="1"/>
  <c r="S11" i="1"/>
  <c r="V7" i="1"/>
  <c r="G5" i="1"/>
  <c r="I5" i="1" s="1"/>
  <c r="L5" i="1" s="1"/>
  <c r="G6" i="1"/>
  <c r="I6" i="1" s="1"/>
  <c r="L6" i="1" s="1"/>
  <c r="U6" i="1" s="1"/>
  <c r="G7" i="1"/>
  <c r="I7" i="1" s="1"/>
  <c r="L7" i="1" s="1"/>
  <c r="U7" i="1" s="1"/>
  <c r="G8" i="1"/>
  <c r="I8" i="1" s="1"/>
  <c r="L8" i="1" s="1"/>
  <c r="U8" i="1" s="1"/>
  <c r="G9" i="1"/>
  <c r="I9" i="1" s="1"/>
  <c r="L9" i="1" s="1"/>
  <c r="U9" i="1" s="1"/>
  <c r="G10" i="1"/>
  <c r="I10" i="1" s="1"/>
  <c r="L10" i="1" s="1"/>
  <c r="U10" i="1" s="1"/>
  <c r="G11" i="1"/>
  <c r="I11" i="1" s="1"/>
  <c r="L11" i="1" s="1"/>
  <c r="U11" i="1" s="1"/>
  <c r="G12" i="1"/>
  <c r="I12" i="1" s="1"/>
  <c r="L12" i="1" s="1"/>
  <c r="U12" i="1" s="1"/>
  <c r="G13" i="1"/>
  <c r="I13" i="1" s="1"/>
  <c r="L13" i="1" s="1"/>
  <c r="U13" i="1" s="1"/>
  <c r="G14" i="1"/>
  <c r="I14" i="1" s="1"/>
  <c r="L14" i="1" s="1"/>
  <c r="U14" i="1" s="1"/>
  <c r="G15" i="1"/>
  <c r="I15" i="1" s="1"/>
  <c r="L15" i="1" s="1"/>
  <c r="U15" i="1" s="1"/>
  <c r="G16" i="1"/>
  <c r="I16" i="1" s="1"/>
  <c r="L16" i="1" s="1"/>
  <c r="U16" i="1" s="1"/>
  <c r="G17" i="1"/>
  <c r="I17" i="1" s="1"/>
  <c r="L17" i="1" s="1"/>
  <c r="U17" i="1" s="1"/>
  <c r="G18" i="1"/>
  <c r="I18" i="1" s="1"/>
  <c r="L18" i="1" s="1"/>
  <c r="U18" i="1" s="1"/>
  <c r="G19" i="1"/>
  <c r="I19" i="1" s="1"/>
  <c r="L19" i="1" s="1"/>
  <c r="U19" i="1" s="1"/>
  <c r="G20" i="1"/>
  <c r="I20" i="1" s="1"/>
  <c r="L20" i="1" s="1"/>
  <c r="U20" i="1" s="1"/>
  <c r="G21" i="1"/>
  <c r="I21" i="1" s="1"/>
  <c r="L21" i="1" s="1"/>
  <c r="U21" i="1" s="1"/>
  <c r="G22" i="1"/>
  <c r="I22" i="1" s="1"/>
  <c r="L22" i="1" s="1"/>
  <c r="U22" i="1" s="1"/>
  <c r="G23" i="1"/>
  <c r="I23" i="1" s="1"/>
  <c r="L23" i="1" s="1"/>
  <c r="U23" i="1" s="1"/>
  <c r="G24" i="1"/>
  <c r="I24" i="1" s="1"/>
  <c r="L24" i="1" s="1"/>
  <c r="U24" i="1" s="1"/>
  <c r="G25" i="1"/>
  <c r="I25" i="1" s="1"/>
  <c r="L25" i="1" s="1"/>
  <c r="U25" i="1" s="1"/>
  <c r="G26" i="1"/>
  <c r="I26" i="1" s="1"/>
  <c r="L26" i="1" s="1"/>
  <c r="U26" i="1" s="1"/>
  <c r="G27" i="1"/>
  <c r="I27" i="1" s="1"/>
  <c r="L27" i="1" s="1"/>
  <c r="U27" i="1" s="1"/>
  <c r="G28" i="1"/>
  <c r="I28" i="1" s="1"/>
  <c r="L28" i="1" s="1"/>
  <c r="U28" i="1" s="1"/>
  <c r="G29" i="1"/>
  <c r="I29" i="1" s="1"/>
  <c r="L29" i="1" s="1"/>
  <c r="U29" i="1" s="1"/>
  <c r="G30" i="1"/>
  <c r="I30" i="1" s="1"/>
  <c r="L30" i="1" s="1"/>
  <c r="U30" i="1" s="1"/>
  <c r="G31" i="1"/>
  <c r="I31" i="1" s="1"/>
  <c r="L31" i="1" s="1"/>
  <c r="U31" i="1" s="1"/>
  <c r="G32" i="1"/>
  <c r="I32" i="1" s="1"/>
  <c r="L32" i="1" s="1"/>
  <c r="U32" i="1" s="1"/>
  <c r="G33" i="1"/>
  <c r="I33" i="1" s="1"/>
  <c r="L33" i="1" s="1"/>
  <c r="U33" i="1" s="1"/>
  <c r="G34" i="1"/>
  <c r="I34" i="1" s="1"/>
  <c r="L34" i="1" s="1"/>
  <c r="U34" i="1" s="1"/>
  <c r="G35" i="1"/>
  <c r="I35" i="1" s="1"/>
  <c r="L35" i="1" s="1"/>
  <c r="U35" i="1" s="1"/>
  <c r="G36" i="1"/>
  <c r="I36" i="1" s="1"/>
  <c r="L36" i="1" s="1"/>
  <c r="U36" i="1" s="1"/>
  <c r="G37" i="1"/>
  <c r="I37" i="1" s="1"/>
  <c r="L37" i="1" s="1"/>
  <c r="U37" i="1" s="1"/>
  <c r="G38" i="1"/>
  <c r="I38" i="1" s="1"/>
  <c r="L38" i="1" s="1"/>
  <c r="U38" i="1" s="1"/>
  <c r="G39" i="1"/>
  <c r="I39" i="1" s="1"/>
  <c r="L39" i="1" s="1"/>
  <c r="U39" i="1" s="1"/>
  <c r="G40" i="1"/>
  <c r="I40" i="1" s="1"/>
  <c r="L40" i="1" s="1"/>
  <c r="U40" i="1" s="1"/>
  <c r="G41" i="1"/>
  <c r="I41" i="1" s="1"/>
  <c r="L41" i="1" s="1"/>
  <c r="U41" i="1" s="1"/>
  <c r="G42" i="1"/>
  <c r="I42" i="1" s="1"/>
  <c r="L42" i="1" s="1"/>
  <c r="U42" i="1" s="1"/>
  <c r="G43" i="1"/>
  <c r="I43" i="1" s="1"/>
  <c r="L43" i="1" s="1"/>
  <c r="U43" i="1" s="1"/>
  <c r="G44" i="1"/>
  <c r="I44" i="1" s="1"/>
  <c r="L44" i="1" s="1"/>
  <c r="U44" i="1" s="1"/>
  <c r="G45" i="1"/>
  <c r="I45" i="1" s="1"/>
  <c r="L45" i="1" s="1"/>
  <c r="U45" i="1" s="1"/>
  <c r="G46" i="1"/>
  <c r="I46" i="1" s="1"/>
  <c r="L46" i="1" s="1"/>
  <c r="U46" i="1" s="1"/>
  <c r="G47" i="1"/>
  <c r="I47" i="1" s="1"/>
  <c r="L47" i="1" s="1"/>
  <c r="U47" i="1" s="1"/>
  <c r="G48" i="1"/>
  <c r="I48" i="1" s="1"/>
  <c r="L48" i="1" s="1"/>
  <c r="U48" i="1" s="1"/>
  <c r="G49" i="1"/>
  <c r="I49" i="1" s="1"/>
  <c r="L49" i="1" s="1"/>
  <c r="U49" i="1" s="1"/>
  <c r="G50" i="1"/>
  <c r="I50" i="1" s="1"/>
  <c r="L50" i="1" s="1"/>
  <c r="U50" i="1" s="1"/>
  <c r="G51" i="1"/>
  <c r="I51" i="1" s="1"/>
  <c r="L51" i="1" s="1"/>
  <c r="U51" i="1" s="1"/>
  <c r="G52" i="1"/>
  <c r="I52" i="1" s="1"/>
  <c r="L52" i="1" s="1"/>
  <c r="U52" i="1" s="1"/>
  <c r="G53" i="1"/>
  <c r="I53" i="1" s="1"/>
  <c r="L53" i="1" s="1"/>
  <c r="U53" i="1" s="1"/>
  <c r="G54" i="1"/>
  <c r="I54" i="1" s="1"/>
  <c r="L54" i="1" s="1"/>
  <c r="U54" i="1" s="1"/>
  <c r="G55" i="1"/>
  <c r="I55" i="1" s="1"/>
  <c r="L55" i="1" s="1"/>
  <c r="U55" i="1" s="1"/>
  <c r="G56" i="1"/>
  <c r="I56" i="1" s="1"/>
  <c r="L56" i="1" s="1"/>
  <c r="U56" i="1" s="1"/>
  <c r="R36" i="1" l="1"/>
  <c r="V36" i="1" s="1"/>
  <c r="R6" i="1" l="1"/>
  <c r="V6" i="1" s="1"/>
  <c r="R8" i="1"/>
  <c r="V8" i="1" s="1"/>
  <c r="R9" i="1"/>
  <c r="V9" i="1" s="1"/>
  <c r="R10" i="1"/>
  <c r="V10" i="1" s="1"/>
  <c r="R11" i="1"/>
  <c r="V11" i="1" s="1"/>
  <c r="V12" i="1"/>
  <c r="R13" i="1"/>
  <c r="V13" i="1" s="1"/>
  <c r="V14" i="1"/>
  <c r="V15" i="1"/>
  <c r="R16" i="1"/>
  <c r="V16" i="1" s="1"/>
  <c r="V17" i="1"/>
  <c r="R18" i="1"/>
  <c r="V18" i="1" s="1"/>
  <c r="R19" i="1"/>
  <c r="V19" i="1" s="1"/>
  <c r="V20" i="1"/>
  <c r="V21" i="1"/>
  <c r="R22" i="1"/>
  <c r="V22" i="1" s="1"/>
  <c r="R23" i="1"/>
  <c r="V23" i="1" s="1"/>
  <c r="V24" i="1"/>
  <c r="R25" i="1"/>
  <c r="V25" i="1" s="1"/>
  <c r="R26" i="1"/>
  <c r="V26" i="1" s="1"/>
  <c r="R27" i="1"/>
  <c r="V27" i="1" s="1"/>
  <c r="R28" i="1"/>
  <c r="V28" i="1" s="1"/>
  <c r="R29" i="1"/>
  <c r="V29" i="1" s="1"/>
  <c r="R30" i="1"/>
  <c r="V30" i="1" s="1"/>
  <c r="V31" i="1"/>
  <c r="R32" i="1"/>
  <c r="V32" i="1" s="1"/>
  <c r="R33" i="1"/>
  <c r="V33" i="1" s="1"/>
  <c r="R34" i="1"/>
  <c r="V34" i="1" s="1"/>
  <c r="R35" i="1"/>
  <c r="V35" i="1" s="1"/>
  <c r="R37" i="1"/>
  <c r="V37" i="1" s="1"/>
  <c r="R38" i="1"/>
  <c r="V38" i="1" s="1"/>
  <c r="V39" i="1"/>
  <c r="R40" i="1"/>
  <c r="V40" i="1" s="1"/>
  <c r="R41" i="1"/>
  <c r="V41" i="1" s="1"/>
  <c r="V42" i="1"/>
  <c r="R43" i="1"/>
  <c r="V43" i="1" s="1"/>
  <c r="V44" i="1"/>
  <c r="R45" i="1"/>
  <c r="V45" i="1" s="1"/>
  <c r="R46" i="1"/>
  <c r="V46" i="1" s="1"/>
  <c r="R47" i="1"/>
  <c r="V47" i="1" s="1"/>
  <c r="V48" i="1"/>
  <c r="V49" i="1"/>
  <c r="V50" i="1"/>
  <c r="V51" i="1"/>
  <c r="R52" i="1"/>
  <c r="V52" i="1" s="1"/>
  <c r="R53" i="1"/>
  <c r="V53" i="1" s="1"/>
  <c r="V54" i="1"/>
  <c r="V55" i="1"/>
  <c r="R56" i="1"/>
  <c r="V56" i="1" s="1"/>
  <c r="V5" i="1"/>
  <c r="U5" i="1"/>
  <c r="U58" i="1" s="1"/>
  <c r="V58" i="1" l="1"/>
</calcChain>
</file>

<file path=xl/comments1.xml><?xml version="1.0" encoding="utf-8"?>
<comments xmlns="http://schemas.openxmlformats.org/spreadsheetml/2006/main">
  <authors>
    <author>Зинаида</author>
  </authors>
  <commentList>
    <comment ref="M50" authorId="0">
      <text>
        <r>
          <rPr>
            <b/>
            <sz val="9"/>
            <color indexed="81"/>
            <rFont val="Tahoma"/>
            <family val="2"/>
            <charset val="204"/>
          </rPr>
          <t>Зинаида:</t>
        </r>
        <r>
          <rPr>
            <sz val="9"/>
            <color indexed="81"/>
            <rFont val="Tahoma"/>
            <family val="2"/>
            <charset val="204"/>
          </rPr>
          <t xml:space="preserve">
+ 17 календарных дней учебного отпуска</t>
        </r>
      </text>
    </comment>
  </commentList>
</comments>
</file>

<file path=xl/comments2.xml><?xml version="1.0" encoding="utf-8"?>
<comments xmlns="http://schemas.openxmlformats.org/spreadsheetml/2006/main">
  <authors>
    <author>Зинаида</author>
  </authors>
  <commentList>
    <comment ref="M50" authorId="0">
      <text>
        <r>
          <rPr>
            <b/>
            <sz val="9"/>
            <color indexed="81"/>
            <rFont val="Tahoma"/>
            <family val="2"/>
            <charset val="204"/>
          </rPr>
          <t>Зинаида:</t>
        </r>
        <r>
          <rPr>
            <sz val="9"/>
            <color indexed="81"/>
            <rFont val="Tahoma"/>
            <family val="2"/>
            <charset val="204"/>
          </rPr>
          <t xml:space="preserve">
+ 17 календарных дней учебного отпуска</t>
        </r>
      </text>
    </comment>
  </commentList>
</comments>
</file>

<file path=xl/comments3.xml><?xml version="1.0" encoding="utf-8"?>
<comments xmlns="http://schemas.openxmlformats.org/spreadsheetml/2006/main">
  <authors>
    <author>Зинаида</author>
  </authors>
  <commentList>
    <comment ref="M50" authorId="0">
      <text>
        <r>
          <rPr>
            <b/>
            <sz val="9"/>
            <color indexed="81"/>
            <rFont val="Tahoma"/>
            <family val="2"/>
            <charset val="204"/>
          </rPr>
          <t>Зинаида:</t>
        </r>
        <r>
          <rPr>
            <sz val="9"/>
            <color indexed="81"/>
            <rFont val="Tahoma"/>
            <family val="2"/>
            <charset val="204"/>
          </rPr>
          <t xml:space="preserve">
+ 17 календарных дней учебного отпуска</t>
        </r>
      </text>
    </comment>
  </commentList>
</comments>
</file>

<file path=xl/comments4.xml><?xml version="1.0" encoding="utf-8"?>
<comments xmlns="http://schemas.openxmlformats.org/spreadsheetml/2006/main">
  <authors>
    <author>Зинаида</author>
  </authors>
  <commentList>
    <comment ref="M47" authorId="0">
      <text>
        <r>
          <rPr>
            <b/>
            <sz val="9"/>
            <color indexed="81"/>
            <rFont val="Tahoma"/>
            <family val="2"/>
            <charset val="204"/>
          </rPr>
          <t>Зинаида:</t>
        </r>
        <r>
          <rPr>
            <sz val="9"/>
            <color indexed="81"/>
            <rFont val="Tahoma"/>
            <family val="2"/>
            <charset val="204"/>
          </rPr>
          <t xml:space="preserve">
+ 17 календарных дней учебного отпуска</t>
        </r>
      </text>
    </comment>
  </commentList>
</comments>
</file>

<file path=xl/comments5.xml><?xml version="1.0" encoding="utf-8"?>
<comments xmlns="http://schemas.openxmlformats.org/spreadsheetml/2006/main">
  <authors>
    <author>Зинаида</author>
  </authors>
  <commentList>
    <comment ref="M47" authorId="0">
      <text>
        <r>
          <rPr>
            <b/>
            <sz val="9"/>
            <color indexed="81"/>
            <rFont val="Tahoma"/>
            <family val="2"/>
            <charset val="204"/>
          </rPr>
          <t>Зинаида:</t>
        </r>
        <r>
          <rPr>
            <sz val="9"/>
            <color indexed="81"/>
            <rFont val="Tahoma"/>
            <family val="2"/>
            <charset val="204"/>
          </rPr>
          <t xml:space="preserve">
+ 17 календарных дней учебного отпуска</t>
        </r>
      </text>
    </comment>
  </commentList>
</comments>
</file>

<file path=xl/sharedStrings.xml><?xml version="1.0" encoding="utf-8"?>
<sst xmlns="http://schemas.openxmlformats.org/spreadsheetml/2006/main" count="1454" uniqueCount="143">
  <si>
    <t>Структурное подразделение</t>
  </si>
  <si>
    <t>Должность (специальность, профессия) по штатному расписанию</t>
  </si>
  <si>
    <t>Фамилия, имя, отчество</t>
  </si>
  <si>
    <t>Табельный номер</t>
  </si>
  <si>
    <t xml:space="preserve">Cтаж работы </t>
  </si>
  <si>
    <t>Количество календарных дней 1С</t>
  </si>
  <si>
    <t>Количество календарных дней VIS</t>
  </si>
  <si>
    <t>Остаток по 1С</t>
  </si>
  <si>
    <t>Администрация</t>
  </si>
  <si>
    <t>Глушкова Марина Андреевна</t>
  </si>
  <si>
    <t>менеджер по научно-техническому развитию</t>
  </si>
  <si>
    <t>менеджер по продажам</t>
  </si>
  <si>
    <t>Жуков Николай Владимирович</t>
  </si>
  <si>
    <t>Руководитель отдела продаж</t>
  </si>
  <si>
    <t>Генеральный директор</t>
  </si>
  <si>
    <t>Логинов Игорь Александрович</t>
  </si>
  <si>
    <t>Логинова Татьяна Владимировна</t>
  </si>
  <si>
    <t>Макеев Михаил Анатольевич</t>
  </si>
  <si>
    <t>логист</t>
  </si>
  <si>
    <t>Масолкина Анна Анатольевна</t>
  </si>
  <si>
    <t>Немешева Екатерина Эрнестовна</t>
  </si>
  <si>
    <t>Менеджер по персоналу</t>
  </si>
  <si>
    <t>Главный бухгалтер</t>
  </si>
  <si>
    <t>Орлова Ольга Владимировна</t>
  </si>
  <si>
    <t>Бухгалтер</t>
  </si>
  <si>
    <t>Пивоварова Наталья Владимировна</t>
  </si>
  <si>
    <t>Черёмухина Анна Сергеевна</t>
  </si>
  <si>
    <t>менеджер по работе с корпоративными клиентами</t>
  </si>
  <si>
    <t>Шеркунов Валерий Евгеньевич</t>
  </si>
  <si>
    <t>Антонова Юлия Александровна</t>
  </si>
  <si>
    <t>Бухгалтерия</t>
  </si>
  <si>
    <t>ОП 1-я Советская</t>
  </si>
  <si>
    <t>Отдел логистики</t>
  </si>
  <si>
    <t>начальник  отдела логистики</t>
  </si>
  <si>
    <t>Отдел персонала</t>
  </si>
  <si>
    <t>Отдел работы с КК</t>
  </si>
  <si>
    <t>Осяев Павел Александрович</t>
  </si>
  <si>
    <t>ОП Бенуа</t>
  </si>
  <si>
    <t>офис-менеджер</t>
  </si>
  <si>
    <t>Алехина Алехина Викторовна</t>
  </si>
  <si>
    <t>Губкин Никита Александрович</t>
  </si>
  <si>
    <t>Кособрюхова Мария Викторовна</t>
  </si>
  <si>
    <t>Кузнецова Яна Сергеевна</t>
  </si>
  <si>
    <t>Савельев Сергей Николаевич</t>
  </si>
  <si>
    <t>Сипина Наталья Сергеевна</t>
  </si>
  <si>
    <t>Гаврикова Елена Анатольевна</t>
  </si>
  <si>
    <t>менеджер по продажам на дому</t>
  </si>
  <si>
    <t>Немешев Ильяс Халилуллович</t>
  </si>
  <si>
    <t>Иванов Алексей Николаевич</t>
  </si>
  <si>
    <t>Фомина Ольга Юрьевна</t>
  </si>
  <si>
    <t>Панкратьева Светлана Владимировна</t>
  </si>
  <si>
    <t>Марасанова Анастасия Констатиновна</t>
  </si>
  <si>
    <t>Яковлев Дмитрий Сергеевич</t>
  </si>
  <si>
    <t>Илющенко Александр Васильевич</t>
  </si>
  <si>
    <t>Командиркин Евгений Владимирович</t>
  </si>
  <si>
    <t>Постников Вадим Игоревич</t>
  </si>
  <si>
    <t>Янушкевич Родион Александрович</t>
  </si>
  <si>
    <t>Есипенок Александра Александровна</t>
  </si>
  <si>
    <t>Волкова Анастасия Владиславовна</t>
  </si>
  <si>
    <t>ОП Московский 212</t>
  </si>
  <si>
    <t>Комиссарова Евгения Алексеевна</t>
  </si>
  <si>
    <t>Кривенко Татьяна Сергеевна</t>
  </si>
  <si>
    <t>Круликовская Ирина Альбертовна</t>
  </si>
  <si>
    <t>Морозов Андрей Геннадьевич</t>
  </si>
  <si>
    <t>Пшеничникова Татьяна Андреевна</t>
  </si>
  <si>
    <t>Отдел ремонта техники</t>
  </si>
  <si>
    <t>начальник отдела ремонта техники</t>
  </si>
  <si>
    <t>Пантелеев Александр Владимирович</t>
  </si>
  <si>
    <t>сервис-инженер</t>
  </si>
  <si>
    <t>Ноговицин Сергей Николаевич</t>
  </si>
  <si>
    <t>Конобеев Александр Евгеньевич</t>
  </si>
  <si>
    <t>Кокорин Павел Александрович</t>
  </si>
  <si>
    <t xml:space="preserve">Поцукайло Игорь Александрович </t>
  </si>
  <si>
    <t>заместитель начальника отдела ремонта техники</t>
  </si>
  <si>
    <t>Попов Даниил Владимирович</t>
  </si>
  <si>
    <t>специалист по ремонту техники</t>
  </si>
  <si>
    <t>Пирогов Евгений Федорович</t>
  </si>
  <si>
    <t>Технический отдел</t>
  </si>
  <si>
    <t>Директор технического отдела</t>
  </si>
  <si>
    <t>Беркутов Марк Васильевич</t>
  </si>
  <si>
    <t>техник</t>
  </si>
  <si>
    <t>Лисовский Сергей Александрович</t>
  </si>
  <si>
    <t>Аршинов Максим Евгеньнвич</t>
  </si>
  <si>
    <t>Белов Андрей Михайлович</t>
  </si>
  <si>
    <t>Карелидзе Александр Ушангиевич</t>
  </si>
  <si>
    <t xml:space="preserve">Сборщиков Денис Николаевич </t>
  </si>
  <si>
    <t>Яковлев Павел Владимирович</t>
  </si>
  <si>
    <t>Смаглюк Дмитрий Владимирович</t>
  </si>
  <si>
    <t>директор по персоналу</t>
  </si>
  <si>
    <t>Абрамова Зинаида Михайловна</t>
  </si>
  <si>
    <t>Беркутов Сергей Васильевич</t>
  </si>
  <si>
    <t>консультат по продукции</t>
  </si>
  <si>
    <t>Трегубенко Вадим Вячеславович</t>
  </si>
  <si>
    <t>системный администратор</t>
  </si>
  <si>
    <t>Матюнина Елена Владимировна</t>
  </si>
  <si>
    <t>генеральный директор(внешнее совместительство)</t>
  </si>
  <si>
    <t>Главный бухгалтер(внешнее совместительство)</t>
  </si>
  <si>
    <t>Начальник отдела маркетинга(внешнее совместительство)</t>
  </si>
  <si>
    <t>менеджер по закупкам</t>
  </si>
  <si>
    <t>Макарченко Вадим Олегович</t>
  </si>
  <si>
    <t>Отдел закупок</t>
  </si>
  <si>
    <t>Отдел развития и маркетинга</t>
  </si>
  <si>
    <t>менеджер по связям с общественностью</t>
  </si>
  <si>
    <t>Гавричева Алина Сергеевна</t>
  </si>
  <si>
    <t>Бадулина Анна Николаевна</t>
  </si>
  <si>
    <t>Директор по развитию</t>
  </si>
  <si>
    <t>Килиминская Валерия Владимировна</t>
  </si>
  <si>
    <t>Дата приема</t>
  </si>
  <si>
    <t>Норма по 1С</t>
  </si>
  <si>
    <t>остаток по 1С</t>
  </si>
  <si>
    <t>остаток по VIS</t>
  </si>
  <si>
    <t>оклад</t>
  </si>
  <si>
    <t>компенсация</t>
  </si>
  <si>
    <t>разница между 1С и VIS</t>
  </si>
  <si>
    <t>Норма по VIS с 01.01.2008</t>
  </si>
  <si>
    <t>текущая дата</t>
  </si>
  <si>
    <t xml:space="preserve">Дзодзуашвили Полина Юрьевна
 </t>
  </si>
  <si>
    <t>Стаж работы в месяцах</t>
  </si>
  <si>
    <t>Норма</t>
  </si>
  <si>
    <t>Количество календарных дней 1С (использовано)</t>
  </si>
  <si>
    <t>Кол-во календарных дней VIS c 2008 (использовано)</t>
  </si>
  <si>
    <t>ведущий специалист по продажам</t>
  </si>
  <si>
    <t>младший специалист по продажам</t>
  </si>
  <si>
    <t>компенсация по VIS</t>
  </si>
  <si>
    <t>Стаж работы по VIS с 01.01.2008 по VIS</t>
  </si>
  <si>
    <t>Дата отсчета для подсчета стажа по VIS</t>
  </si>
  <si>
    <t>Кол-во заработаных дней отпуска по VIS</t>
  </si>
  <si>
    <t>специалист по работе с корпоративными клиентами</t>
  </si>
  <si>
    <t xml:space="preserve">Дзодзуашвили Полина Юрьевна </t>
  </si>
  <si>
    <t>Романов Максим Андреевич</t>
  </si>
  <si>
    <t>Радько Андрей Владимирович</t>
  </si>
  <si>
    <t>Кожевникова Наталья Владимировна</t>
  </si>
  <si>
    <t>Антохина Ксения Валерьевна</t>
  </si>
  <si>
    <t>Агафонников Николай Виктович</t>
  </si>
  <si>
    <t>Шаронова Алена Андреевна</t>
  </si>
  <si>
    <t>Агафонников Екатерина Виктовна</t>
  </si>
  <si>
    <t>Жарова Анна Александровна</t>
  </si>
  <si>
    <t>Сидоров Борис Владимирович</t>
  </si>
  <si>
    <t>Агафонниковa Екатерина Виктовна</t>
  </si>
  <si>
    <t>Мартынихин Серегей Анатольевич</t>
  </si>
  <si>
    <t>Федотов Антон Алексеевич</t>
  </si>
  <si>
    <t>Карелин Владислав Дмитриевич</t>
  </si>
  <si>
    <t>Рогова Юлия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</si>
</sst>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000000000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Verdana"/>
      <family val="2"/>
      <charset val="204"/>
    </font>
    <font>
      <sz val="9"/>
      <name val="Verdana"/>
      <family val="2"/>
      <charset val="204"/>
    </font>
    <font>
      <sz val="9"/>
      <name val="Tahoma"/>
      <family val="2"/>
      <charset val="204"/>
    </font>
    <font>
      <sz val="9"/>
      <color theme="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3" fillId="0" borderId="3" xfId="1" applyNumberFormat="1" applyFont="1" applyBorder="1" applyAlignment="1">
      <alignment horizontal="left" vertical="center" wrapText="1"/>
    </xf>
    <xf numFmtId="0" fontId="3" fillId="0" borderId="1" xfId="1" applyNumberFormat="1" applyFont="1" applyBorder="1" applyAlignment="1">
      <alignment horizontal="left" vertical="center" wrapText="1"/>
    </xf>
    <xf numFmtId="0" fontId="3" fillId="0" borderId="2" xfId="1" applyNumberFormat="1" applyFont="1" applyFill="1" applyBorder="1" applyAlignment="1">
      <alignment horizontal="left" vertical="center" wrapText="1"/>
    </xf>
    <xf numFmtId="0" fontId="0" fillId="0" borderId="2" xfId="0" applyBorder="1"/>
    <xf numFmtId="0" fontId="3" fillId="0" borderId="2" xfId="1" applyNumberFormat="1" applyFont="1" applyBorder="1" applyAlignment="1">
      <alignment horizontal="left" vertical="center" wrapText="1"/>
    </xf>
    <xf numFmtId="164" fontId="3" fillId="0" borderId="2" xfId="1" applyNumberFormat="1" applyFont="1" applyBorder="1" applyAlignment="1">
      <alignment horizontal="right" vertical="center" wrapText="1"/>
    </xf>
    <xf numFmtId="0" fontId="4" fillId="0" borderId="3" xfId="1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14" fontId="4" fillId="0" borderId="1" xfId="1" applyNumberFormat="1" applyFont="1" applyBorder="1" applyAlignment="1">
      <alignment horizontal="right" vertical="center" wrapText="1"/>
    </xf>
    <xf numFmtId="0" fontId="4" fillId="0" borderId="1" xfId="1" applyNumberFormat="1" applyFont="1" applyBorder="1" applyAlignment="1">
      <alignment horizontal="right" vertical="center" wrapText="1"/>
    </xf>
    <xf numFmtId="0" fontId="4" fillId="0" borderId="3" xfId="1" applyNumberFormat="1" applyFont="1" applyFill="1" applyBorder="1" applyAlignment="1">
      <alignment horizontal="left" vertical="center" wrapText="1"/>
    </xf>
    <xf numFmtId="0" fontId="4" fillId="0" borderId="2" xfId="1" applyNumberFormat="1" applyFont="1" applyFill="1" applyBorder="1" applyAlignment="1">
      <alignment horizontal="left" vertical="center" wrapText="1"/>
    </xf>
    <xf numFmtId="0" fontId="4" fillId="0" borderId="5" xfId="1" applyNumberFormat="1" applyFont="1" applyFill="1" applyBorder="1" applyAlignment="1">
      <alignment horizontal="left" vertical="center" wrapText="1"/>
    </xf>
    <xf numFmtId="0" fontId="4" fillId="0" borderId="2" xfId="1" applyNumberFormat="1" applyFont="1" applyBorder="1" applyAlignment="1">
      <alignment horizontal="left" vertical="center" wrapText="1"/>
    </xf>
    <xf numFmtId="164" fontId="4" fillId="0" borderId="7" xfId="1" applyNumberFormat="1" applyFont="1" applyBorder="1" applyAlignment="1">
      <alignment horizontal="right" vertical="center" wrapText="1"/>
    </xf>
    <xf numFmtId="0" fontId="4" fillId="0" borderId="4" xfId="1" applyNumberFormat="1" applyFont="1" applyFill="1" applyBorder="1" applyAlignment="1">
      <alignment horizontal="left" vertical="center" wrapText="1"/>
    </xf>
    <xf numFmtId="0" fontId="5" fillId="0" borderId="0" xfId="0" applyFont="1"/>
    <xf numFmtId="2" fontId="5" fillId="0" borderId="2" xfId="0" applyNumberFormat="1" applyFont="1" applyBorder="1"/>
    <xf numFmtId="0" fontId="5" fillId="0" borderId="2" xfId="0" applyFont="1" applyBorder="1"/>
    <xf numFmtId="0" fontId="5" fillId="0" borderId="2" xfId="0" applyFont="1" applyFill="1" applyBorder="1"/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Border="1"/>
    <xf numFmtId="0" fontId="5" fillId="2" borderId="0" xfId="0" applyFont="1" applyFill="1"/>
    <xf numFmtId="14" fontId="4" fillId="2" borderId="1" xfId="1" applyNumberFormat="1" applyFont="1" applyFill="1" applyBorder="1" applyAlignment="1">
      <alignment horizontal="right" vertical="center" wrapText="1"/>
    </xf>
    <xf numFmtId="14" fontId="4" fillId="2" borderId="2" xfId="1" applyNumberFormat="1" applyFont="1" applyFill="1" applyBorder="1" applyAlignment="1">
      <alignment horizontal="right" vertical="center" wrapText="1"/>
    </xf>
    <xf numFmtId="0" fontId="5" fillId="2" borderId="0" xfId="0" applyFont="1" applyFill="1" applyBorder="1"/>
    <xf numFmtId="2" fontId="5" fillId="2" borderId="1" xfId="0" applyNumberFormat="1" applyFont="1" applyFill="1" applyBorder="1"/>
    <xf numFmtId="0" fontId="5" fillId="3" borderId="0" xfId="0" applyFont="1" applyFill="1"/>
    <xf numFmtId="44" fontId="5" fillId="3" borderId="2" xfId="0" applyNumberFormat="1" applyFont="1" applyFill="1" applyBorder="1"/>
    <xf numFmtId="0" fontId="5" fillId="3" borderId="0" xfId="0" applyFont="1" applyFill="1" applyBorder="1"/>
    <xf numFmtId="44" fontId="5" fillId="4" borderId="2" xfId="0" applyNumberFormat="1" applyFont="1" applyFill="1" applyBorder="1"/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4" fillId="0" borderId="6" xfId="1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3" borderId="6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4" fillId="2" borderId="6" xfId="1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6" borderId="2" xfId="0" applyFont="1" applyFill="1" applyBorder="1"/>
    <xf numFmtId="0" fontId="5" fillId="7" borderId="2" xfId="0" applyFont="1" applyFill="1" applyBorder="1"/>
    <xf numFmtId="0" fontId="5" fillId="5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6" borderId="0" xfId="0" applyFont="1" applyFill="1"/>
    <xf numFmtId="0" fontId="5" fillId="6" borderId="2" xfId="0" applyFont="1" applyFill="1" applyBorder="1" applyAlignment="1">
      <alignment horizontal="center" vertical="top" wrapText="1"/>
    </xf>
    <xf numFmtId="14" fontId="5" fillId="6" borderId="2" xfId="0" applyNumberFormat="1" applyFont="1" applyFill="1" applyBorder="1"/>
    <xf numFmtId="0" fontId="5" fillId="6" borderId="0" xfId="0" applyFont="1" applyFill="1" applyBorder="1"/>
    <xf numFmtId="14" fontId="5" fillId="8" borderId="2" xfId="0" applyNumberFormat="1" applyFont="1" applyFill="1" applyBorder="1"/>
    <xf numFmtId="0" fontId="5" fillId="6" borderId="6" xfId="0" applyFont="1" applyFill="1" applyBorder="1" applyAlignment="1">
      <alignment horizontal="center" vertical="top" wrapText="1"/>
    </xf>
    <xf numFmtId="0" fontId="5" fillId="4" borderId="0" xfId="0" applyFont="1" applyFill="1"/>
    <xf numFmtId="0" fontId="5" fillId="4" borderId="6" xfId="0" applyFont="1" applyFill="1" applyBorder="1" applyAlignment="1">
      <alignment horizontal="center" vertical="top" wrapText="1"/>
    </xf>
    <xf numFmtId="0" fontId="5" fillId="4" borderId="2" xfId="0" applyFont="1" applyFill="1" applyBorder="1"/>
    <xf numFmtId="0" fontId="5" fillId="4" borderId="0" xfId="0" applyFont="1" applyFill="1" applyBorder="1"/>
    <xf numFmtId="0" fontId="5" fillId="0" borderId="0" xfId="0" applyFont="1" applyFill="1"/>
    <xf numFmtId="14" fontId="5" fillId="0" borderId="0" xfId="0" applyNumberFormat="1" applyFont="1" applyFill="1"/>
    <xf numFmtId="0" fontId="4" fillId="0" borderId="2" xfId="1" applyNumberFormat="1" applyFont="1" applyBorder="1" applyAlignment="1">
      <alignment horizontal="center" vertical="top" wrapText="1"/>
    </xf>
    <xf numFmtId="44" fontId="5" fillId="0" borderId="0" xfId="0" applyNumberFormat="1" applyFont="1"/>
    <xf numFmtId="44" fontId="5" fillId="0" borderId="0" xfId="0" applyNumberFormat="1" applyFont="1" applyFill="1"/>
    <xf numFmtId="44" fontId="5" fillId="3" borderId="0" xfId="0" applyNumberFormat="1" applyFont="1" applyFill="1"/>
    <xf numFmtId="2" fontId="5" fillId="9" borderId="1" xfId="0" applyNumberFormat="1" applyFont="1" applyFill="1" applyBorder="1"/>
    <xf numFmtId="14" fontId="5" fillId="2" borderId="0" xfId="0" applyNumberFormat="1" applyFont="1" applyFill="1" applyBorder="1"/>
    <xf numFmtId="164" fontId="4" fillId="0" borderId="0" xfId="1" applyNumberFormat="1" applyFont="1" applyBorder="1" applyAlignment="1">
      <alignment horizontal="right" vertical="center" wrapText="1"/>
    </xf>
    <xf numFmtId="14" fontId="4" fillId="2" borderId="0" xfId="1" applyNumberFormat="1" applyFont="1" applyFill="1" applyBorder="1" applyAlignment="1">
      <alignment horizontal="right" vertical="center" wrapText="1"/>
    </xf>
    <xf numFmtId="0" fontId="4" fillId="0" borderId="0" xfId="1" applyNumberFormat="1" applyFont="1" applyBorder="1" applyAlignment="1">
      <alignment horizontal="left" vertical="center" wrapText="1"/>
    </xf>
    <xf numFmtId="164" fontId="4" fillId="0" borderId="2" xfId="1" applyNumberFormat="1" applyFont="1" applyBorder="1" applyAlignment="1">
      <alignment horizontal="right" vertical="center" wrapText="1"/>
    </xf>
    <xf numFmtId="0" fontId="4" fillId="0" borderId="2" xfId="1" applyNumberFormat="1" applyFont="1" applyBorder="1" applyAlignment="1">
      <alignment horizontal="right" vertical="center" wrapText="1"/>
    </xf>
    <xf numFmtId="14" fontId="4" fillId="0" borderId="0" xfId="1" applyNumberFormat="1" applyFont="1" applyBorder="1" applyAlignment="1">
      <alignment horizontal="right" vertical="center" wrapText="1"/>
    </xf>
    <xf numFmtId="0" fontId="5" fillId="3" borderId="2" xfId="0" applyFont="1" applyFill="1" applyBorder="1"/>
    <xf numFmtId="0" fontId="4" fillId="0" borderId="2" xfId="1" applyNumberFormat="1" applyFont="1" applyBorder="1" applyAlignment="1">
      <alignment horizontal="center" vertical="center" wrapText="1"/>
    </xf>
    <xf numFmtId="0" fontId="4" fillId="0" borderId="6" xfId="1" applyNumberFormat="1" applyFont="1" applyBorder="1" applyAlignment="1">
      <alignment horizontal="center" vertical="center" wrapText="1"/>
    </xf>
    <xf numFmtId="0" fontId="4" fillId="2" borderId="6" xfId="1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center" vertical="center" wrapText="1"/>
    </xf>
  </cellXfs>
  <cellStyles count="2">
    <cellStyle name="Normal_Sheet1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zoomScale="90" zoomScaleNormal="90" workbookViewId="0">
      <pane xSplit="3" ySplit="4" topLeftCell="J5" activePane="bottomRight" state="frozen"/>
      <selection pane="topRight" activeCell="D1" sqref="D1"/>
      <selection pane="bottomLeft" activeCell="A4" sqref="A4"/>
      <selection pane="bottomRight" activeCell="L58" sqref="L58"/>
    </sheetView>
  </sheetViews>
  <sheetFormatPr defaultRowHeight="11.25" outlineLevelCol="1" x14ac:dyDescent="0.15"/>
  <cols>
    <col min="1" max="1" width="16" style="18" customWidth="1"/>
    <col min="2" max="2" width="19.85546875" style="18" customWidth="1"/>
    <col min="3" max="3" width="16.85546875" style="18" customWidth="1"/>
    <col min="4" max="4" width="11.140625" style="18" customWidth="1"/>
    <col min="5" max="5" width="10.42578125" style="24" customWidth="1"/>
    <col min="6" max="6" width="10.5703125" style="18" customWidth="1"/>
    <col min="7" max="7" width="7.5703125" style="18" customWidth="1"/>
    <col min="8" max="8" width="0" style="18" hidden="1" customWidth="1"/>
    <col min="9" max="9" width="9.140625" style="18"/>
    <col min="10" max="10" width="13.7109375" style="18" customWidth="1"/>
    <col min="11" max="11" width="14.7109375" style="18" hidden="1" customWidth="1"/>
    <col min="12" max="12" width="8.42578125" style="24" customWidth="1"/>
    <col min="13" max="13" width="13.85546875" style="18" customWidth="1"/>
    <col min="14" max="14" width="11.42578125" style="45" customWidth="1" outlineLevel="1"/>
    <col min="15" max="15" width="11.28515625" style="45" customWidth="1" outlineLevel="1"/>
    <col min="16" max="16" width="9.85546875" style="45" customWidth="1" outlineLevel="1"/>
    <col min="17" max="17" width="10.28515625" style="51" customWidth="1"/>
    <col min="18" max="19" width="9.140625" style="18"/>
    <col min="20" max="20" width="14.5703125" style="18" customWidth="1" outlineLevel="1"/>
    <col min="21" max="21" width="13" style="29" customWidth="1" outlineLevel="1"/>
    <col min="22" max="22" width="16.42578125" style="18" customWidth="1" outlineLevel="1"/>
    <col min="23" max="16384" width="9.140625" style="18"/>
  </cols>
  <sheetData>
    <row r="1" spans="1:22" s="55" customFormat="1" x14ac:dyDescent="0.15"/>
    <row r="2" spans="1:22" s="55" customFormat="1" x14ac:dyDescent="0.15">
      <c r="G2" s="56"/>
    </row>
    <row r="3" spans="1:22" s="55" customFormat="1" x14ac:dyDescent="0.15"/>
    <row r="4" spans="1:22" s="44" customFormat="1" ht="69" customHeight="1" x14ac:dyDescent="0.15">
      <c r="A4" s="35" t="s">
        <v>0</v>
      </c>
      <c r="B4" s="35" t="s">
        <v>1</v>
      </c>
      <c r="C4" s="35" t="s">
        <v>2</v>
      </c>
      <c r="D4" s="35" t="s">
        <v>3</v>
      </c>
      <c r="E4" s="39" t="s">
        <v>107</v>
      </c>
      <c r="F4" s="57" t="s">
        <v>115</v>
      </c>
      <c r="G4" s="57" t="s">
        <v>117</v>
      </c>
      <c r="H4" s="36" t="s">
        <v>4</v>
      </c>
      <c r="I4" s="33" t="s">
        <v>118</v>
      </c>
      <c r="J4" s="34" t="s">
        <v>119</v>
      </c>
      <c r="K4" s="36" t="s">
        <v>108</v>
      </c>
      <c r="L4" s="40" t="s">
        <v>109</v>
      </c>
      <c r="M4" s="34" t="s">
        <v>120</v>
      </c>
      <c r="N4" s="46" t="s">
        <v>125</v>
      </c>
      <c r="O4" s="46" t="s">
        <v>124</v>
      </c>
      <c r="P4" s="50" t="s">
        <v>114</v>
      </c>
      <c r="Q4" s="52" t="s">
        <v>126</v>
      </c>
      <c r="R4" s="34" t="s">
        <v>110</v>
      </c>
      <c r="S4" s="34" t="s">
        <v>113</v>
      </c>
      <c r="T4" s="38" t="s">
        <v>111</v>
      </c>
      <c r="U4" s="37" t="s">
        <v>112</v>
      </c>
      <c r="V4" s="43" t="s">
        <v>123</v>
      </c>
    </row>
    <row r="5" spans="1:22" ht="22.5" x14ac:dyDescent="0.15">
      <c r="A5" s="7" t="s">
        <v>31</v>
      </c>
      <c r="B5" s="7" t="s">
        <v>13</v>
      </c>
      <c r="C5" s="8" t="s">
        <v>9</v>
      </c>
      <c r="D5" s="9">
        <v>23</v>
      </c>
      <c r="E5" s="25">
        <v>38443</v>
      </c>
      <c r="F5" s="10">
        <v>41365</v>
      </c>
      <c r="G5" s="11">
        <f>DATEDIF(E5,F5,"m")</f>
        <v>96</v>
      </c>
      <c r="H5" s="19">
        <v>8</v>
      </c>
      <c r="I5" s="19">
        <f>G5*2.33</f>
        <v>223.68</v>
      </c>
      <c r="J5" s="20">
        <v>199</v>
      </c>
      <c r="K5" s="20">
        <v>224</v>
      </c>
      <c r="L5" s="28">
        <f>I5-J5</f>
        <v>24.680000000000007</v>
      </c>
      <c r="M5" s="21">
        <v>160</v>
      </c>
      <c r="N5" s="49">
        <v>39448</v>
      </c>
      <c r="O5" s="41">
        <f>DATEDIF(N5,F5,"m")</f>
        <v>63</v>
      </c>
      <c r="P5" s="41">
        <v>144.66</v>
      </c>
      <c r="Q5" s="53">
        <f t="shared" ref="Q5:Q36" si="0">O5*2.33</f>
        <v>146.79</v>
      </c>
      <c r="R5" s="20">
        <f>Q5-M5</f>
        <v>-13.210000000000008</v>
      </c>
      <c r="S5" s="42"/>
      <c r="T5" s="20">
        <v>18000</v>
      </c>
      <c r="U5" s="30">
        <f t="shared" ref="U5:U36" si="1">((T5*12)/365)*L5</f>
        <v>14605.150684931512</v>
      </c>
      <c r="V5" s="32">
        <f>((T5*12)/365)*R5</f>
        <v>-7817.4246575342513</v>
      </c>
    </row>
    <row r="6" spans="1:22" ht="22.5" x14ac:dyDescent="0.15">
      <c r="A6" s="7" t="s">
        <v>31</v>
      </c>
      <c r="B6" s="7" t="s">
        <v>46</v>
      </c>
      <c r="C6" s="7" t="s">
        <v>45</v>
      </c>
      <c r="D6" s="9">
        <v>106</v>
      </c>
      <c r="E6" s="25">
        <v>40513</v>
      </c>
      <c r="F6" s="10">
        <v>41365</v>
      </c>
      <c r="G6" s="11">
        <f t="shared" ref="G6:G56" si="2">DATEDIF(E6,F6,"m")</f>
        <v>28</v>
      </c>
      <c r="H6" s="19">
        <v>2.04</v>
      </c>
      <c r="I6" s="19">
        <f t="shared" ref="I6:I56" si="3">G6*2.33</f>
        <v>65.240000000000009</v>
      </c>
      <c r="J6" s="20">
        <v>56</v>
      </c>
      <c r="K6" s="20">
        <v>65.319999999999993</v>
      </c>
      <c r="L6" s="28">
        <f t="shared" ref="L6:L56" si="4">I6-J6</f>
        <v>9.2400000000000091</v>
      </c>
      <c r="M6" s="20">
        <v>56</v>
      </c>
      <c r="N6" s="47">
        <f>E6</f>
        <v>40513</v>
      </c>
      <c r="O6" s="41">
        <f t="shared" ref="O6:O11" si="5">DATEDIF(N6,F6,"m")</f>
        <v>28</v>
      </c>
      <c r="P6" s="41">
        <v>65.319999999999993</v>
      </c>
      <c r="Q6" s="53">
        <f t="shared" si="0"/>
        <v>65.240000000000009</v>
      </c>
      <c r="R6" s="20">
        <f>P6-M6</f>
        <v>9.3199999999999932</v>
      </c>
      <c r="S6" s="20">
        <f t="shared" ref="S6:S23" si="6">J6-M6</f>
        <v>0</v>
      </c>
      <c r="T6" s="20">
        <v>12000</v>
      </c>
      <c r="U6" s="30">
        <f t="shared" si="1"/>
        <v>3645.3698630137019</v>
      </c>
      <c r="V6" s="32">
        <f t="shared" ref="V6:V56" si="7">((T6*12)/365)*R6</f>
        <v>3676.9315068493124</v>
      </c>
    </row>
    <row r="7" spans="1:22" ht="22.5" x14ac:dyDescent="0.15">
      <c r="A7" s="7" t="s">
        <v>31</v>
      </c>
      <c r="B7" s="7" t="s">
        <v>11</v>
      </c>
      <c r="C7" s="7" t="s">
        <v>16</v>
      </c>
      <c r="D7" s="9">
        <v>126</v>
      </c>
      <c r="E7" s="25">
        <v>40848</v>
      </c>
      <c r="F7" s="10">
        <v>41365</v>
      </c>
      <c r="G7" s="11">
        <f t="shared" si="2"/>
        <v>17</v>
      </c>
      <c r="H7" s="19">
        <v>1.05</v>
      </c>
      <c r="I7" s="19">
        <f t="shared" si="3"/>
        <v>39.61</v>
      </c>
      <c r="J7" s="20">
        <v>14</v>
      </c>
      <c r="K7" s="20">
        <v>39.65</v>
      </c>
      <c r="L7" s="28">
        <f t="shared" si="4"/>
        <v>25.61</v>
      </c>
      <c r="M7" s="21">
        <v>0</v>
      </c>
      <c r="N7" s="47">
        <f t="shared" ref="N7:N13" si="8">E7</f>
        <v>40848</v>
      </c>
      <c r="O7" s="41">
        <f t="shared" si="5"/>
        <v>17</v>
      </c>
      <c r="P7" s="41">
        <v>0</v>
      </c>
      <c r="Q7" s="53">
        <f t="shared" si="0"/>
        <v>39.61</v>
      </c>
      <c r="R7" s="20">
        <v>0</v>
      </c>
      <c r="S7" s="20">
        <f t="shared" si="6"/>
        <v>14</v>
      </c>
      <c r="T7" s="20">
        <v>13000</v>
      </c>
      <c r="U7" s="30">
        <f t="shared" si="1"/>
        <v>10945.643835616438</v>
      </c>
      <c r="V7" s="32">
        <f t="shared" si="7"/>
        <v>0</v>
      </c>
    </row>
    <row r="8" spans="1:22" ht="22.5" x14ac:dyDescent="0.15">
      <c r="A8" s="7" t="s">
        <v>31</v>
      </c>
      <c r="B8" s="7" t="s">
        <v>11</v>
      </c>
      <c r="C8" s="7" t="s">
        <v>12</v>
      </c>
      <c r="D8" s="9">
        <v>123</v>
      </c>
      <c r="E8" s="25">
        <v>40826</v>
      </c>
      <c r="F8" s="10">
        <v>41365</v>
      </c>
      <c r="G8" s="11">
        <f t="shared" si="2"/>
        <v>17</v>
      </c>
      <c r="H8" s="19">
        <v>1.05</v>
      </c>
      <c r="I8" s="19">
        <f t="shared" si="3"/>
        <v>39.61</v>
      </c>
      <c r="J8" s="20">
        <v>16</v>
      </c>
      <c r="K8" s="20">
        <v>39.65</v>
      </c>
      <c r="L8" s="28">
        <f t="shared" si="4"/>
        <v>23.61</v>
      </c>
      <c r="M8" s="21">
        <v>22</v>
      </c>
      <c r="N8" s="47">
        <f t="shared" si="8"/>
        <v>40826</v>
      </c>
      <c r="O8" s="41">
        <f t="shared" si="5"/>
        <v>17</v>
      </c>
      <c r="P8" s="41">
        <v>39.65</v>
      </c>
      <c r="Q8" s="53">
        <f t="shared" si="0"/>
        <v>39.61</v>
      </c>
      <c r="R8" s="20">
        <f>P8-M8</f>
        <v>17.649999999999999</v>
      </c>
      <c r="S8" s="20">
        <f t="shared" si="6"/>
        <v>-6</v>
      </c>
      <c r="T8" s="20">
        <v>13000</v>
      </c>
      <c r="U8" s="30">
        <f t="shared" si="1"/>
        <v>10090.849315068494</v>
      </c>
      <c r="V8" s="32">
        <f t="shared" si="7"/>
        <v>7543.5616438356165</v>
      </c>
    </row>
    <row r="9" spans="1:22" ht="22.5" x14ac:dyDescent="0.15">
      <c r="A9" s="7" t="s">
        <v>31</v>
      </c>
      <c r="B9" s="7" t="s">
        <v>11</v>
      </c>
      <c r="C9" s="7" t="s">
        <v>26</v>
      </c>
      <c r="D9" s="9">
        <v>134</v>
      </c>
      <c r="E9" s="25">
        <v>41031</v>
      </c>
      <c r="F9" s="10">
        <v>41365</v>
      </c>
      <c r="G9" s="11">
        <f t="shared" si="2"/>
        <v>10</v>
      </c>
      <c r="H9" s="19">
        <v>0.11</v>
      </c>
      <c r="I9" s="19">
        <f t="shared" si="3"/>
        <v>23.3</v>
      </c>
      <c r="J9" s="20">
        <v>8</v>
      </c>
      <c r="K9" s="20">
        <v>25.63</v>
      </c>
      <c r="L9" s="28">
        <f t="shared" si="4"/>
        <v>15.3</v>
      </c>
      <c r="M9" s="21">
        <v>11</v>
      </c>
      <c r="N9" s="47">
        <f t="shared" si="8"/>
        <v>41031</v>
      </c>
      <c r="O9" s="41">
        <f t="shared" si="5"/>
        <v>10</v>
      </c>
      <c r="P9" s="41">
        <v>25.63</v>
      </c>
      <c r="Q9" s="53">
        <f t="shared" si="0"/>
        <v>23.3</v>
      </c>
      <c r="R9" s="20">
        <f>P9-M9</f>
        <v>14.629999999999999</v>
      </c>
      <c r="S9" s="20">
        <f t="shared" si="6"/>
        <v>-3</v>
      </c>
      <c r="T9" s="20">
        <v>13000</v>
      </c>
      <c r="U9" s="30">
        <f t="shared" si="1"/>
        <v>6539.178082191781</v>
      </c>
      <c r="V9" s="32">
        <f t="shared" si="7"/>
        <v>6252.821917808219</v>
      </c>
    </row>
    <row r="10" spans="1:22" ht="22.5" x14ac:dyDescent="0.15">
      <c r="A10" s="7" t="s">
        <v>31</v>
      </c>
      <c r="B10" s="7" t="s">
        <v>11</v>
      </c>
      <c r="C10" s="7" t="s">
        <v>47</v>
      </c>
      <c r="D10" s="9">
        <v>130</v>
      </c>
      <c r="E10" s="25">
        <v>40969</v>
      </c>
      <c r="F10" s="10">
        <v>41365</v>
      </c>
      <c r="G10" s="11">
        <f t="shared" si="2"/>
        <v>13</v>
      </c>
      <c r="H10" s="19">
        <v>1</v>
      </c>
      <c r="I10" s="19">
        <f t="shared" si="3"/>
        <v>30.29</v>
      </c>
      <c r="J10" s="20">
        <v>0</v>
      </c>
      <c r="K10" s="20">
        <v>28</v>
      </c>
      <c r="L10" s="28">
        <f t="shared" si="4"/>
        <v>30.29</v>
      </c>
      <c r="M10" s="20">
        <v>0</v>
      </c>
      <c r="N10" s="47">
        <f t="shared" si="8"/>
        <v>40969</v>
      </c>
      <c r="O10" s="41">
        <f t="shared" si="5"/>
        <v>13</v>
      </c>
      <c r="P10" s="41">
        <v>0</v>
      </c>
      <c r="Q10" s="53">
        <f t="shared" si="0"/>
        <v>30.29</v>
      </c>
      <c r="R10" s="20">
        <f>P10-M10</f>
        <v>0</v>
      </c>
      <c r="S10" s="20">
        <f t="shared" si="6"/>
        <v>0</v>
      </c>
      <c r="T10" s="20">
        <v>13000</v>
      </c>
      <c r="U10" s="30">
        <f t="shared" si="1"/>
        <v>12945.86301369863</v>
      </c>
      <c r="V10" s="32">
        <f t="shared" si="7"/>
        <v>0</v>
      </c>
    </row>
    <row r="11" spans="1:22" ht="22.5" x14ac:dyDescent="0.15">
      <c r="A11" s="7" t="s">
        <v>31</v>
      </c>
      <c r="B11" s="7" t="s">
        <v>11</v>
      </c>
      <c r="C11" s="7" t="s">
        <v>48</v>
      </c>
      <c r="D11" s="9">
        <v>155</v>
      </c>
      <c r="E11" s="25">
        <v>41330</v>
      </c>
      <c r="F11" s="10">
        <v>41365</v>
      </c>
      <c r="G11" s="11">
        <f t="shared" si="2"/>
        <v>1</v>
      </c>
      <c r="H11" s="19">
        <v>0</v>
      </c>
      <c r="I11" s="19">
        <f t="shared" si="3"/>
        <v>2.33</v>
      </c>
      <c r="J11" s="20">
        <v>0</v>
      </c>
      <c r="K11" s="20">
        <v>0</v>
      </c>
      <c r="L11" s="28">
        <f t="shared" si="4"/>
        <v>2.33</v>
      </c>
      <c r="M11" s="20">
        <v>0</v>
      </c>
      <c r="N11" s="47">
        <f t="shared" si="8"/>
        <v>41330</v>
      </c>
      <c r="O11" s="41">
        <f t="shared" si="5"/>
        <v>1</v>
      </c>
      <c r="P11" s="41">
        <v>0</v>
      </c>
      <c r="Q11" s="53">
        <f t="shared" si="0"/>
        <v>2.33</v>
      </c>
      <c r="R11" s="20">
        <f>P11-M11</f>
        <v>0</v>
      </c>
      <c r="S11" s="20">
        <f t="shared" si="6"/>
        <v>0</v>
      </c>
      <c r="T11" s="20">
        <v>13000</v>
      </c>
      <c r="U11" s="30">
        <f t="shared" si="1"/>
        <v>995.83561643835628</v>
      </c>
      <c r="V11" s="32">
        <f t="shared" si="7"/>
        <v>0</v>
      </c>
    </row>
    <row r="12" spans="1:22" ht="22.5" x14ac:dyDescent="0.15">
      <c r="A12" s="7" t="s">
        <v>8</v>
      </c>
      <c r="B12" s="7" t="s">
        <v>14</v>
      </c>
      <c r="C12" s="7" t="s">
        <v>15</v>
      </c>
      <c r="D12" s="9">
        <v>8</v>
      </c>
      <c r="E12" s="25">
        <v>37259</v>
      </c>
      <c r="F12" s="10">
        <v>41365</v>
      </c>
      <c r="G12" s="11">
        <f t="shared" si="2"/>
        <v>134</v>
      </c>
      <c r="H12" s="19">
        <v>11.02</v>
      </c>
      <c r="I12" s="19">
        <f t="shared" si="3"/>
        <v>312.22000000000003</v>
      </c>
      <c r="J12" s="20">
        <v>193</v>
      </c>
      <c r="K12" s="20">
        <v>312.66000000000003</v>
      </c>
      <c r="L12" s="28">
        <f t="shared" si="4"/>
        <v>119.22000000000003</v>
      </c>
      <c r="M12" s="21">
        <v>88</v>
      </c>
      <c r="N12" s="49">
        <v>39448</v>
      </c>
      <c r="O12" s="41">
        <f>DATEDIF(N12,F12,"m")</f>
        <v>63</v>
      </c>
      <c r="P12" s="41">
        <v>144.66</v>
      </c>
      <c r="Q12" s="53">
        <f t="shared" si="0"/>
        <v>146.79</v>
      </c>
      <c r="R12" s="20">
        <f>Q12-M12</f>
        <v>58.789999999999992</v>
      </c>
      <c r="S12" s="20">
        <f t="shared" si="6"/>
        <v>105</v>
      </c>
      <c r="T12" s="20">
        <v>28000</v>
      </c>
      <c r="U12" s="30">
        <f t="shared" si="1"/>
        <v>109747.72602739728</v>
      </c>
      <c r="V12" s="32">
        <f t="shared" si="7"/>
        <v>54119.01369863013</v>
      </c>
    </row>
    <row r="13" spans="1:22" ht="33" customHeight="1" x14ac:dyDescent="0.15">
      <c r="A13" s="7" t="s">
        <v>8</v>
      </c>
      <c r="B13" s="7" t="s">
        <v>10</v>
      </c>
      <c r="C13" s="8" t="s">
        <v>116</v>
      </c>
      <c r="D13" s="9">
        <v>140</v>
      </c>
      <c r="E13" s="25">
        <v>41143</v>
      </c>
      <c r="F13" s="10">
        <v>41365</v>
      </c>
      <c r="G13" s="11">
        <f t="shared" si="2"/>
        <v>7</v>
      </c>
      <c r="H13" s="19">
        <v>7.0000000000000007E-2</v>
      </c>
      <c r="I13" s="19">
        <f t="shared" si="3"/>
        <v>16.310000000000002</v>
      </c>
      <c r="J13" s="20">
        <v>7</v>
      </c>
      <c r="K13" s="20">
        <v>16.309999999999999</v>
      </c>
      <c r="L13" s="28">
        <f t="shared" si="4"/>
        <v>9.3100000000000023</v>
      </c>
      <c r="M13" s="21">
        <v>7</v>
      </c>
      <c r="N13" s="47">
        <f t="shared" si="8"/>
        <v>41143</v>
      </c>
      <c r="O13" s="41">
        <f t="shared" ref="O13" si="9">DATEDIF(N13,F13,"m")</f>
        <v>7</v>
      </c>
      <c r="P13" s="41">
        <v>16.309999999999999</v>
      </c>
      <c r="Q13" s="53">
        <f t="shared" si="0"/>
        <v>16.310000000000002</v>
      </c>
      <c r="R13" s="20">
        <f>P13-M13</f>
        <v>9.3099999999999987</v>
      </c>
      <c r="S13" s="20">
        <f t="shared" si="6"/>
        <v>0</v>
      </c>
      <c r="T13" s="20">
        <v>12000</v>
      </c>
      <c r="U13" s="30">
        <f t="shared" si="1"/>
        <v>3672.9863013698637</v>
      </c>
      <c r="V13" s="32">
        <f t="shared" si="7"/>
        <v>3672.9863013698623</v>
      </c>
    </row>
    <row r="14" spans="1:22" ht="22.5" x14ac:dyDescent="0.15">
      <c r="A14" s="7" t="s">
        <v>32</v>
      </c>
      <c r="B14" s="7" t="s">
        <v>33</v>
      </c>
      <c r="C14" s="7" t="s">
        <v>17</v>
      </c>
      <c r="D14" s="9">
        <v>13</v>
      </c>
      <c r="E14" s="25">
        <v>37773</v>
      </c>
      <c r="F14" s="10">
        <v>41365</v>
      </c>
      <c r="G14" s="11">
        <f t="shared" si="2"/>
        <v>118</v>
      </c>
      <c r="H14" s="19">
        <v>9.1</v>
      </c>
      <c r="I14" s="19">
        <f t="shared" si="3"/>
        <v>274.94</v>
      </c>
      <c r="J14" s="20">
        <v>128</v>
      </c>
      <c r="K14" s="20">
        <v>275.3</v>
      </c>
      <c r="L14" s="28">
        <f t="shared" si="4"/>
        <v>146.94</v>
      </c>
      <c r="M14" s="21">
        <v>74</v>
      </c>
      <c r="N14" s="49">
        <v>39448</v>
      </c>
      <c r="O14" s="41">
        <f>DATEDIF(N14,F14,"m")</f>
        <v>63</v>
      </c>
      <c r="P14" s="41">
        <v>144.66</v>
      </c>
      <c r="Q14" s="53">
        <f t="shared" si="0"/>
        <v>146.79</v>
      </c>
      <c r="R14" s="20">
        <f>Q14-M14</f>
        <v>72.789999999999992</v>
      </c>
      <c r="S14" s="20">
        <f t="shared" si="6"/>
        <v>54</v>
      </c>
      <c r="T14" s="20">
        <v>18000</v>
      </c>
      <c r="U14" s="30">
        <f t="shared" si="1"/>
        <v>86956.273972602736</v>
      </c>
      <c r="V14" s="32">
        <f t="shared" si="7"/>
        <v>43075.726027397257</v>
      </c>
    </row>
    <row r="15" spans="1:22" ht="33.75" x14ac:dyDescent="0.15">
      <c r="A15" s="7" t="s">
        <v>32</v>
      </c>
      <c r="B15" s="7" t="s">
        <v>18</v>
      </c>
      <c r="C15" s="7" t="s">
        <v>53</v>
      </c>
      <c r="D15" s="9">
        <v>57</v>
      </c>
      <c r="E15" s="25">
        <v>39456</v>
      </c>
      <c r="F15" s="10">
        <v>41365</v>
      </c>
      <c r="G15" s="11">
        <f t="shared" si="2"/>
        <v>62</v>
      </c>
      <c r="H15" s="20">
        <v>5.0199999999999996</v>
      </c>
      <c r="I15" s="19">
        <f t="shared" si="3"/>
        <v>144.46</v>
      </c>
      <c r="J15" s="20">
        <v>85</v>
      </c>
      <c r="K15" s="20">
        <v>144.66</v>
      </c>
      <c r="L15" s="28">
        <f t="shared" si="4"/>
        <v>59.460000000000008</v>
      </c>
      <c r="M15" s="21">
        <v>28</v>
      </c>
      <c r="N15" s="49">
        <v>39448</v>
      </c>
      <c r="O15" s="41">
        <f>DATEDIF(E15,F15,"m")</f>
        <v>62</v>
      </c>
      <c r="P15" s="41">
        <v>144.66</v>
      </c>
      <c r="Q15" s="53">
        <f t="shared" si="0"/>
        <v>144.46</v>
      </c>
      <c r="R15" s="20">
        <f>Q15-M15</f>
        <v>116.46000000000001</v>
      </c>
      <c r="S15" s="20">
        <f t="shared" si="6"/>
        <v>57</v>
      </c>
      <c r="T15" s="20">
        <v>12000</v>
      </c>
      <c r="U15" s="30">
        <f t="shared" si="1"/>
        <v>23458.191780821919</v>
      </c>
      <c r="V15" s="32">
        <f t="shared" si="7"/>
        <v>45945.863013698632</v>
      </c>
    </row>
    <row r="16" spans="1:22" ht="33.75" x14ac:dyDescent="0.15">
      <c r="A16" s="7" t="s">
        <v>32</v>
      </c>
      <c r="B16" s="7" t="s">
        <v>18</v>
      </c>
      <c r="C16" s="7" t="s">
        <v>54</v>
      </c>
      <c r="D16" s="9">
        <v>111</v>
      </c>
      <c r="E16" s="25">
        <v>40603</v>
      </c>
      <c r="F16" s="10">
        <v>41365</v>
      </c>
      <c r="G16" s="11">
        <f t="shared" si="2"/>
        <v>25</v>
      </c>
      <c r="H16" s="20">
        <v>2.0099999999999998</v>
      </c>
      <c r="I16" s="19">
        <f t="shared" si="3"/>
        <v>58.25</v>
      </c>
      <c r="J16" s="20">
        <v>42</v>
      </c>
      <c r="K16" s="20">
        <v>58.33</v>
      </c>
      <c r="L16" s="28">
        <f t="shared" si="4"/>
        <v>16.25</v>
      </c>
      <c r="M16" s="21">
        <v>42</v>
      </c>
      <c r="N16" s="47">
        <f t="shared" ref="N16" si="10">E16</f>
        <v>40603</v>
      </c>
      <c r="O16" s="41">
        <f t="shared" ref="O16" si="11">DATEDIF(N16,F16,"m")</f>
        <v>25</v>
      </c>
      <c r="P16" s="41">
        <v>58.33</v>
      </c>
      <c r="Q16" s="53">
        <f t="shared" si="0"/>
        <v>58.25</v>
      </c>
      <c r="R16" s="20">
        <f>P16-M16</f>
        <v>16.329999999999998</v>
      </c>
      <c r="S16" s="20">
        <f t="shared" si="6"/>
        <v>0</v>
      </c>
      <c r="T16" s="20">
        <v>12000</v>
      </c>
      <c r="U16" s="30">
        <f t="shared" si="1"/>
        <v>6410.9589041095887</v>
      </c>
      <c r="V16" s="32">
        <f t="shared" si="7"/>
        <v>6442.5205479452043</v>
      </c>
    </row>
    <row r="17" spans="1:22" ht="22.5" x14ac:dyDescent="0.15">
      <c r="A17" s="7" t="s">
        <v>32</v>
      </c>
      <c r="B17" s="7" t="s">
        <v>18</v>
      </c>
      <c r="C17" s="7" t="s">
        <v>55</v>
      </c>
      <c r="D17" s="9">
        <v>50</v>
      </c>
      <c r="E17" s="25">
        <v>39387</v>
      </c>
      <c r="F17" s="10">
        <v>41365</v>
      </c>
      <c r="G17" s="11">
        <f t="shared" si="2"/>
        <v>65</v>
      </c>
      <c r="H17" s="20">
        <v>5.05</v>
      </c>
      <c r="I17" s="19">
        <f t="shared" si="3"/>
        <v>151.45000000000002</v>
      </c>
      <c r="J17" s="20">
        <v>84</v>
      </c>
      <c r="K17" s="20">
        <v>151.65</v>
      </c>
      <c r="L17" s="28">
        <f t="shared" si="4"/>
        <v>67.450000000000017</v>
      </c>
      <c r="M17" s="21">
        <v>42</v>
      </c>
      <c r="N17" s="49">
        <v>39448</v>
      </c>
      <c r="O17" s="41">
        <f>DATEDIF(N17,F17,"m")</f>
        <v>63</v>
      </c>
      <c r="P17" s="41">
        <v>144.66</v>
      </c>
      <c r="Q17" s="53">
        <f t="shared" si="0"/>
        <v>146.79</v>
      </c>
      <c r="R17" s="20">
        <f>Q17-M17</f>
        <v>104.78999999999999</v>
      </c>
      <c r="S17" s="20">
        <f t="shared" si="6"/>
        <v>42</v>
      </c>
      <c r="T17" s="20">
        <v>12000</v>
      </c>
      <c r="U17" s="30">
        <f t="shared" si="1"/>
        <v>26610.410958904115</v>
      </c>
      <c r="V17" s="32">
        <f t="shared" si="7"/>
        <v>41341.808219178078</v>
      </c>
    </row>
    <row r="18" spans="1:22" ht="22.5" x14ac:dyDescent="0.15">
      <c r="A18" s="7" t="s">
        <v>32</v>
      </c>
      <c r="B18" s="7" t="s">
        <v>18</v>
      </c>
      <c r="C18" s="7" t="s">
        <v>56</v>
      </c>
      <c r="D18" s="9">
        <v>90</v>
      </c>
      <c r="E18" s="25">
        <v>40238</v>
      </c>
      <c r="F18" s="10">
        <v>41365</v>
      </c>
      <c r="G18" s="11">
        <f t="shared" si="2"/>
        <v>37</v>
      </c>
      <c r="H18" s="20">
        <v>3.01</v>
      </c>
      <c r="I18" s="19">
        <f t="shared" si="3"/>
        <v>86.210000000000008</v>
      </c>
      <c r="J18" s="20">
        <v>28</v>
      </c>
      <c r="K18" s="20">
        <v>86.33</v>
      </c>
      <c r="L18" s="28">
        <f t="shared" si="4"/>
        <v>58.210000000000008</v>
      </c>
      <c r="M18" s="21">
        <v>21</v>
      </c>
      <c r="N18" s="47">
        <f t="shared" ref="N18:N19" si="12">E18</f>
        <v>40238</v>
      </c>
      <c r="O18" s="41">
        <f t="shared" ref="O18:O19" si="13">DATEDIF(N18,F18,"m")</f>
        <v>37</v>
      </c>
      <c r="P18" s="41">
        <v>86.33</v>
      </c>
      <c r="Q18" s="53">
        <f t="shared" si="0"/>
        <v>86.210000000000008</v>
      </c>
      <c r="R18" s="20">
        <f>P18-M18</f>
        <v>65.33</v>
      </c>
      <c r="S18" s="20">
        <f t="shared" si="6"/>
        <v>7</v>
      </c>
      <c r="T18" s="20">
        <v>12000</v>
      </c>
      <c r="U18" s="30">
        <f t="shared" si="1"/>
        <v>22965.041095890414</v>
      </c>
      <c r="V18" s="32">
        <f t="shared" si="7"/>
        <v>25774.027397260274</v>
      </c>
    </row>
    <row r="19" spans="1:22" ht="22.5" x14ac:dyDescent="0.15">
      <c r="A19" s="7" t="s">
        <v>32</v>
      </c>
      <c r="B19" s="7" t="s">
        <v>18</v>
      </c>
      <c r="C19" s="12" t="s">
        <v>52</v>
      </c>
      <c r="D19" s="9">
        <v>141</v>
      </c>
      <c r="E19" s="25">
        <v>41155</v>
      </c>
      <c r="F19" s="10">
        <v>41365</v>
      </c>
      <c r="G19" s="11">
        <f t="shared" si="2"/>
        <v>6</v>
      </c>
      <c r="H19" s="20">
        <v>0.06</v>
      </c>
      <c r="I19" s="19">
        <f t="shared" si="3"/>
        <v>13.98</v>
      </c>
      <c r="J19" s="20">
        <v>0</v>
      </c>
      <c r="K19" s="20">
        <v>13.98</v>
      </c>
      <c r="L19" s="28">
        <f t="shared" si="4"/>
        <v>13.98</v>
      </c>
      <c r="M19" s="21">
        <v>14</v>
      </c>
      <c r="N19" s="47">
        <f t="shared" si="12"/>
        <v>41155</v>
      </c>
      <c r="O19" s="41">
        <f t="shared" si="13"/>
        <v>6</v>
      </c>
      <c r="P19" s="41">
        <v>13.98</v>
      </c>
      <c r="Q19" s="53">
        <f t="shared" si="0"/>
        <v>13.98</v>
      </c>
      <c r="R19" s="20">
        <f>P19-M19</f>
        <v>-1.9999999999999574E-2</v>
      </c>
      <c r="S19" s="20">
        <f t="shared" si="6"/>
        <v>-14</v>
      </c>
      <c r="T19" s="20">
        <v>12000</v>
      </c>
      <c r="U19" s="30">
        <f t="shared" si="1"/>
        <v>5515.3972602739723</v>
      </c>
      <c r="V19" s="32">
        <f t="shared" si="7"/>
        <v>-7.8904109589039413</v>
      </c>
    </row>
    <row r="20" spans="1:22" ht="33.75" x14ac:dyDescent="0.15">
      <c r="A20" s="7" t="s">
        <v>34</v>
      </c>
      <c r="B20" s="7" t="s">
        <v>21</v>
      </c>
      <c r="C20" s="7" t="s">
        <v>20</v>
      </c>
      <c r="D20" s="9">
        <v>39</v>
      </c>
      <c r="E20" s="25">
        <v>39052</v>
      </c>
      <c r="F20" s="10">
        <v>41365</v>
      </c>
      <c r="G20" s="11">
        <f t="shared" si="2"/>
        <v>76</v>
      </c>
      <c r="H20" s="20">
        <v>6.04</v>
      </c>
      <c r="I20" s="19">
        <f t="shared" si="3"/>
        <v>177.08</v>
      </c>
      <c r="J20" s="20">
        <v>164</v>
      </c>
      <c r="K20" s="20">
        <v>177.32</v>
      </c>
      <c r="L20" s="28">
        <f t="shared" si="4"/>
        <v>13.080000000000013</v>
      </c>
      <c r="M20" s="21">
        <v>118</v>
      </c>
      <c r="N20" s="49">
        <v>39448</v>
      </c>
      <c r="O20" s="41">
        <f>DATEDIF(N20,F20,"m")</f>
        <v>63</v>
      </c>
      <c r="P20" s="41">
        <v>144.66</v>
      </c>
      <c r="Q20" s="53">
        <f t="shared" si="0"/>
        <v>146.79</v>
      </c>
      <c r="R20" s="20">
        <f>Q20-M20</f>
        <v>28.789999999999992</v>
      </c>
      <c r="S20" s="20">
        <f t="shared" si="6"/>
        <v>46</v>
      </c>
      <c r="T20" s="20">
        <v>13000</v>
      </c>
      <c r="U20" s="30">
        <f t="shared" si="1"/>
        <v>5590.3561643835674</v>
      </c>
      <c r="V20" s="32">
        <f t="shared" si="7"/>
        <v>12304.767123287669</v>
      </c>
    </row>
    <row r="21" spans="1:22" ht="22.5" x14ac:dyDescent="0.15">
      <c r="A21" s="7" t="s">
        <v>30</v>
      </c>
      <c r="B21" s="7" t="s">
        <v>22</v>
      </c>
      <c r="C21" s="7" t="s">
        <v>23</v>
      </c>
      <c r="D21" s="9">
        <v>19</v>
      </c>
      <c r="E21" s="25">
        <v>38166</v>
      </c>
      <c r="F21" s="10">
        <v>41365</v>
      </c>
      <c r="G21" s="11">
        <f t="shared" si="2"/>
        <v>105</v>
      </c>
      <c r="H21" s="20">
        <v>8.09</v>
      </c>
      <c r="I21" s="19">
        <f t="shared" si="3"/>
        <v>244.65</v>
      </c>
      <c r="J21" s="20">
        <v>103</v>
      </c>
      <c r="K21" s="20">
        <v>244.97</v>
      </c>
      <c r="L21" s="28">
        <f t="shared" si="4"/>
        <v>141.65</v>
      </c>
      <c r="M21" s="21">
        <v>67</v>
      </c>
      <c r="N21" s="49">
        <v>39448</v>
      </c>
      <c r="O21" s="41">
        <f>DATEDIF(N21,F21,"m")</f>
        <v>63</v>
      </c>
      <c r="P21" s="41">
        <v>144.66</v>
      </c>
      <c r="Q21" s="53">
        <f t="shared" si="0"/>
        <v>146.79</v>
      </c>
      <c r="R21" s="20">
        <f>Q21-M21</f>
        <v>79.789999999999992</v>
      </c>
      <c r="S21" s="42"/>
      <c r="T21" s="20">
        <v>24000</v>
      </c>
      <c r="U21" s="30">
        <f t="shared" si="1"/>
        <v>111767.67123287672</v>
      </c>
      <c r="V21" s="32">
        <f t="shared" si="7"/>
        <v>62957.589041095882</v>
      </c>
    </row>
    <row r="22" spans="1:22" ht="33.75" x14ac:dyDescent="0.15">
      <c r="A22" s="7" t="s">
        <v>30</v>
      </c>
      <c r="B22" s="7" t="s">
        <v>24</v>
      </c>
      <c r="C22" s="7" t="s">
        <v>25</v>
      </c>
      <c r="D22" s="9">
        <v>113</v>
      </c>
      <c r="E22" s="25">
        <v>40623</v>
      </c>
      <c r="F22" s="10">
        <v>41365</v>
      </c>
      <c r="G22" s="11">
        <f t="shared" si="2"/>
        <v>24</v>
      </c>
      <c r="H22" s="19">
        <v>2</v>
      </c>
      <c r="I22" s="19">
        <f t="shared" si="3"/>
        <v>55.92</v>
      </c>
      <c r="J22" s="20">
        <v>49</v>
      </c>
      <c r="K22" s="20">
        <v>56</v>
      </c>
      <c r="L22" s="28">
        <f t="shared" si="4"/>
        <v>6.9200000000000017</v>
      </c>
      <c r="M22" s="21">
        <v>44</v>
      </c>
      <c r="N22" s="47">
        <f t="shared" ref="N22:N23" si="14">E22</f>
        <v>40623</v>
      </c>
      <c r="O22" s="41">
        <f t="shared" ref="O22:O23" si="15">DATEDIF(N22,F22,"m")</f>
        <v>24</v>
      </c>
      <c r="P22" s="41">
        <v>56</v>
      </c>
      <c r="Q22" s="53">
        <f t="shared" si="0"/>
        <v>55.92</v>
      </c>
      <c r="R22" s="20">
        <f>P22-M22</f>
        <v>12</v>
      </c>
      <c r="S22" s="20">
        <f t="shared" si="6"/>
        <v>5</v>
      </c>
      <c r="T22" s="20">
        <v>13000</v>
      </c>
      <c r="U22" s="30">
        <f t="shared" si="1"/>
        <v>2957.5890410958914</v>
      </c>
      <c r="V22" s="32">
        <f t="shared" si="7"/>
        <v>5128.767123287671</v>
      </c>
    </row>
    <row r="23" spans="1:22" ht="33.75" x14ac:dyDescent="0.15">
      <c r="A23" s="7" t="s">
        <v>30</v>
      </c>
      <c r="B23" s="7" t="s">
        <v>24</v>
      </c>
      <c r="C23" s="7" t="s">
        <v>57</v>
      </c>
      <c r="D23" s="9">
        <v>154</v>
      </c>
      <c r="E23" s="25">
        <v>41309</v>
      </c>
      <c r="F23" s="10">
        <v>41365</v>
      </c>
      <c r="G23" s="11">
        <f t="shared" si="2"/>
        <v>1</v>
      </c>
      <c r="H23" s="20">
        <v>0.01</v>
      </c>
      <c r="I23" s="19">
        <f t="shared" si="3"/>
        <v>2.33</v>
      </c>
      <c r="J23" s="20">
        <v>0</v>
      </c>
      <c r="K23" s="20">
        <v>0</v>
      </c>
      <c r="L23" s="28">
        <f t="shared" si="4"/>
        <v>2.33</v>
      </c>
      <c r="M23" s="21">
        <v>0</v>
      </c>
      <c r="N23" s="47">
        <f t="shared" si="14"/>
        <v>41309</v>
      </c>
      <c r="O23" s="41">
        <f t="shared" si="15"/>
        <v>1</v>
      </c>
      <c r="P23" s="41"/>
      <c r="Q23" s="53">
        <f t="shared" si="0"/>
        <v>2.33</v>
      </c>
      <c r="R23" s="20">
        <f>P23-M23</f>
        <v>0</v>
      </c>
      <c r="S23" s="20">
        <f t="shared" si="6"/>
        <v>0</v>
      </c>
      <c r="T23" s="20">
        <v>13000</v>
      </c>
      <c r="U23" s="30">
        <f t="shared" si="1"/>
        <v>995.83561643835628</v>
      </c>
      <c r="V23" s="32">
        <f t="shared" si="7"/>
        <v>0</v>
      </c>
    </row>
    <row r="24" spans="1:22" ht="22.5" x14ac:dyDescent="0.15">
      <c r="A24" s="7" t="s">
        <v>30</v>
      </c>
      <c r="B24" s="7" t="s">
        <v>24</v>
      </c>
      <c r="C24" s="7" t="s">
        <v>29</v>
      </c>
      <c r="D24" s="9">
        <v>53</v>
      </c>
      <c r="E24" s="25">
        <v>39419</v>
      </c>
      <c r="F24" s="10">
        <v>41365</v>
      </c>
      <c r="G24" s="11">
        <f t="shared" si="2"/>
        <v>63</v>
      </c>
      <c r="H24" s="20">
        <v>5.03</v>
      </c>
      <c r="I24" s="19">
        <f t="shared" si="3"/>
        <v>146.79</v>
      </c>
      <c r="J24" s="20">
        <v>143</v>
      </c>
      <c r="K24" s="20">
        <v>146.99</v>
      </c>
      <c r="L24" s="28">
        <f t="shared" si="4"/>
        <v>3.789999999999992</v>
      </c>
      <c r="M24" s="21">
        <v>117</v>
      </c>
      <c r="N24" s="49">
        <v>39448</v>
      </c>
      <c r="O24" s="41">
        <f>DATEDIF(N24,F24,"m")</f>
        <v>63</v>
      </c>
      <c r="P24" s="41">
        <v>144.66</v>
      </c>
      <c r="Q24" s="53">
        <f t="shared" si="0"/>
        <v>146.79</v>
      </c>
      <c r="R24" s="20">
        <f>Q24-M24</f>
        <v>29.789999999999992</v>
      </c>
      <c r="S24" s="42"/>
      <c r="T24" s="20">
        <v>13000</v>
      </c>
      <c r="U24" s="30">
        <f t="shared" si="1"/>
        <v>1619.8356164383529</v>
      </c>
      <c r="V24" s="32">
        <f t="shared" si="7"/>
        <v>12732.164383561641</v>
      </c>
    </row>
    <row r="25" spans="1:22" ht="33.75" x14ac:dyDescent="0.15">
      <c r="A25" s="7" t="s">
        <v>35</v>
      </c>
      <c r="B25" s="7" t="s">
        <v>127</v>
      </c>
      <c r="C25" s="7" t="s">
        <v>28</v>
      </c>
      <c r="D25" s="9">
        <v>137</v>
      </c>
      <c r="E25" s="25">
        <v>41106</v>
      </c>
      <c r="F25" s="10">
        <v>41365</v>
      </c>
      <c r="G25" s="11">
        <f t="shared" si="2"/>
        <v>8</v>
      </c>
      <c r="H25" s="20">
        <v>0.08</v>
      </c>
      <c r="I25" s="19">
        <f t="shared" si="3"/>
        <v>18.64</v>
      </c>
      <c r="J25" s="20">
        <v>5</v>
      </c>
      <c r="K25" s="20">
        <v>18.64</v>
      </c>
      <c r="L25" s="28">
        <f t="shared" si="4"/>
        <v>13.64</v>
      </c>
      <c r="M25" s="20">
        <v>5</v>
      </c>
      <c r="N25" s="47">
        <f t="shared" ref="N25:N30" si="16">E25</f>
        <v>41106</v>
      </c>
      <c r="O25" s="41">
        <f t="shared" ref="O25:O30" si="17">DATEDIF(N25,F25,"m")</f>
        <v>8</v>
      </c>
      <c r="P25" s="41">
        <v>18.64</v>
      </c>
      <c r="Q25" s="53">
        <f t="shared" si="0"/>
        <v>18.64</v>
      </c>
      <c r="R25" s="20">
        <f t="shared" ref="R25:R30" si="18">P25-M25</f>
        <v>13.64</v>
      </c>
      <c r="S25" s="20">
        <f t="shared" ref="S25:S48" si="19">J25-M25</f>
        <v>0</v>
      </c>
      <c r="T25" s="20">
        <v>13000</v>
      </c>
      <c r="U25" s="30">
        <f t="shared" si="1"/>
        <v>5829.698630136987</v>
      </c>
      <c r="V25" s="32">
        <f t="shared" si="7"/>
        <v>5829.698630136987</v>
      </c>
    </row>
    <row r="26" spans="1:22" ht="33.75" x14ac:dyDescent="0.15">
      <c r="A26" s="7" t="s">
        <v>35</v>
      </c>
      <c r="B26" s="7" t="s">
        <v>27</v>
      </c>
      <c r="C26" s="7" t="s">
        <v>36</v>
      </c>
      <c r="D26" s="9">
        <v>114</v>
      </c>
      <c r="E26" s="25">
        <v>40639</v>
      </c>
      <c r="F26" s="10">
        <v>41365</v>
      </c>
      <c r="G26" s="11">
        <f t="shared" si="2"/>
        <v>23</v>
      </c>
      <c r="H26" s="20">
        <v>1.1100000000000001</v>
      </c>
      <c r="I26" s="19">
        <f t="shared" si="3"/>
        <v>53.59</v>
      </c>
      <c r="J26" s="20">
        <v>45</v>
      </c>
      <c r="K26" s="20">
        <v>53.63</v>
      </c>
      <c r="L26" s="28">
        <f t="shared" si="4"/>
        <v>8.5900000000000034</v>
      </c>
      <c r="M26" s="20">
        <v>43</v>
      </c>
      <c r="N26" s="47">
        <f t="shared" si="16"/>
        <v>40639</v>
      </c>
      <c r="O26" s="41">
        <f t="shared" si="17"/>
        <v>23</v>
      </c>
      <c r="P26" s="41">
        <v>53.63</v>
      </c>
      <c r="Q26" s="53">
        <f t="shared" si="0"/>
        <v>53.59</v>
      </c>
      <c r="R26" s="20">
        <f t="shared" si="18"/>
        <v>10.630000000000003</v>
      </c>
      <c r="S26" s="20">
        <f t="shared" si="19"/>
        <v>2</v>
      </c>
      <c r="T26" s="20">
        <v>14000</v>
      </c>
      <c r="U26" s="30">
        <f t="shared" si="1"/>
        <v>3953.7534246575356</v>
      </c>
      <c r="V26" s="32">
        <f t="shared" si="7"/>
        <v>4892.7123287671247</v>
      </c>
    </row>
    <row r="27" spans="1:22" ht="22.5" x14ac:dyDescent="0.15">
      <c r="A27" s="13" t="s">
        <v>37</v>
      </c>
      <c r="B27" s="7" t="s">
        <v>38</v>
      </c>
      <c r="C27" s="7" t="s">
        <v>39</v>
      </c>
      <c r="D27" s="9">
        <v>13</v>
      </c>
      <c r="E27" s="25">
        <v>40269</v>
      </c>
      <c r="F27" s="10">
        <v>41365</v>
      </c>
      <c r="G27" s="11">
        <f t="shared" si="2"/>
        <v>36</v>
      </c>
      <c r="H27" s="19">
        <v>3</v>
      </c>
      <c r="I27" s="19">
        <f t="shared" si="3"/>
        <v>83.88</v>
      </c>
      <c r="J27" s="20">
        <v>42</v>
      </c>
      <c r="K27" s="20">
        <v>84</v>
      </c>
      <c r="L27" s="28">
        <f t="shared" si="4"/>
        <v>41.879999999999995</v>
      </c>
      <c r="M27" s="20">
        <v>102</v>
      </c>
      <c r="N27" s="47">
        <f t="shared" si="16"/>
        <v>40269</v>
      </c>
      <c r="O27" s="41">
        <f t="shared" si="17"/>
        <v>36</v>
      </c>
      <c r="P27" s="41">
        <v>84</v>
      </c>
      <c r="Q27" s="53">
        <f t="shared" si="0"/>
        <v>83.88</v>
      </c>
      <c r="R27" s="20">
        <f t="shared" si="18"/>
        <v>-18</v>
      </c>
      <c r="S27" s="20">
        <f t="shared" si="19"/>
        <v>-60</v>
      </c>
      <c r="T27" s="20">
        <v>12000</v>
      </c>
      <c r="U27" s="30">
        <f t="shared" si="1"/>
        <v>16522.520547945202</v>
      </c>
      <c r="V27" s="32">
        <f t="shared" si="7"/>
        <v>-7101.3698630136987</v>
      </c>
    </row>
    <row r="28" spans="1:22" ht="22.5" x14ac:dyDescent="0.15">
      <c r="A28" s="13" t="s">
        <v>37</v>
      </c>
      <c r="B28" s="7" t="s">
        <v>121</v>
      </c>
      <c r="C28" s="7" t="s">
        <v>40</v>
      </c>
      <c r="D28" s="9">
        <v>93</v>
      </c>
      <c r="E28" s="25">
        <v>40269</v>
      </c>
      <c r="F28" s="10">
        <v>41365</v>
      </c>
      <c r="G28" s="11">
        <f t="shared" si="2"/>
        <v>36</v>
      </c>
      <c r="H28" s="19">
        <v>3</v>
      </c>
      <c r="I28" s="19">
        <f t="shared" si="3"/>
        <v>83.88</v>
      </c>
      <c r="J28" s="20">
        <v>68</v>
      </c>
      <c r="K28" s="20">
        <v>84</v>
      </c>
      <c r="L28" s="28">
        <f t="shared" si="4"/>
        <v>15.879999999999995</v>
      </c>
      <c r="M28" s="20">
        <v>69</v>
      </c>
      <c r="N28" s="47">
        <f t="shared" si="16"/>
        <v>40269</v>
      </c>
      <c r="O28" s="41">
        <f t="shared" si="17"/>
        <v>36</v>
      </c>
      <c r="P28" s="41">
        <v>84</v>
      </c>
      <c r="Q28" s="53">
        <f t="shared" si="0"/>
        <v>83.88</v>
      </c>
      <c r="R28" s="20">
        <f t="shared" si="18"/>
        <v>15</v>
      </c>
      <c r="S28" s="20">
        <f t="shared" si="19"/>
        <v>-1</v>
      </c>
      <c r="T28" s="20">
        <v>13000</v>
      </c>
      <c r="U28" s="30">
        <f t="shared" si="1"/>
        <v>6787.068493150683</v>
      </c>
      <c r="V28" s="32">
        <f t="shared" si="7"/>
        <v>6410.9589041095896</v>
      </c>
    </row>
    <row r="29" spans="1:22" ht="22.5" x14ac:dyDescent="0.15">
      <c r="A29" s="13" t="s">
        <v>37</v>
      </c>
      <c r="B29" s="7" t="s">
        <v>121</v>
      </c>
      <c r="C29" s="7" t="s">
        <v>41</v>
      </c>
      <c r="D29" s="9">
        <v>116</v>
      </c>
      <c r="E29" s="25">
        <v>40695</v>
      </c>
      <c r="F29" s="10">
        <v>41365</v>
      </c>
      <c r="G29" s="11">
        <f t="shared" si="2"/>
        <v>22</v>
      </c>
      <c r="H29" s="19">
        <v>1.1000000000000001</v>
      </c>
      <c r="I29" s="19">
        <f t="shared" si="3"/>
        <v>51.260000000000005</v>
      </c>
      <c r="J29" s="20">
        <v>28</v>
      </c>
      <c r="K29" s="20">
        <v>51.3</v>
      </c>
      <c r="L29" s="28">
        <f t="shared" si="4"/>
        <v>23.260000000000005</v>
      </c>
      <c r="M29" s="20">
        <v>29</v>
      </c>
      <c r="N29" s="47">
        <f t="shared" si="16"/>
        <v>40695</v>
      </c>
      <c r="O29" s="41">
        <f t="shared" si="17"/>
        <v>22</v>
      </c>
      <c r="P29" s="41">
        <v>51.3</v>
      </c>
      <c r="Q29" s="53">
        <f t="shared" si="0"/>
        <v>51.260000000000005</v>
      </c>
      <c r="R29" s="20">
        <f t="shared" si="18"/>
        <v>22.299999999999997</v>
      </c>
      <c r="S29" s="20">
        <f t="shared" si="19"/>
        <v>-1</v>
      </c>
      <c r="T29" s="20">
        <v>13000</v>
      </c>
      <c r="U29" s="30">
        <f t="shared" si="1"/>
        <v>9941.2602739726062</v>
      </c>
      <c r="V29" s="32">
        <f t="shared" si="7"/>
        <v>9530.9589041095878</v>
      </c>
    </row>
    <row r="30" spans="1:22" ht="22.5" x14ac:dyDescent="0.15">
      <c r="A30" s="13" t="s">
        <v>37</v>
      </c>
      <c r="B30" s="7" t="s">
        <v>11</v>
      </c>
      <c r="C30" s="7" t="s">
        <v>42</v>
      </c>
      <c r="D30" s="9">
        <v>143</v>
      </c>
      <c r="E30" s="25">
        <v>41157</v>
      </c>
      <c r="F30" s="10">
        <v>41365</v>
      </c>
      <c r="G30" s="11">
        <f t="shared" si="2"/>
        <v>6</v>
      </c>
      <c r="H30" s="20">
        <v>0.06</v>
      </c>
      <c r="I30" s="19">
        <f t="shared" si="3"/>
        <v>13.98</v>
      </c>
      <c r="J30" s="20">
        <v>5</v>
      </c>
      <c r="K30" s="20">
        <v>13.98</v>
      </c>
      <c r="L30" s="28">
        <f t="shared" si="4"/>
        <v>8.98</v>
      </c>
      <c r="M30" s="20">
        <v>5</v>
      </c>
      <c r="N30" s="47">
        <f t="shared" si="16"/>
        <v>41157</v>
      </c>
      <c r="O30" s="41">
        <f t="shared" si="17"/>
        <v>6</v>
      </c>
      <c r="P30" s="41">
        <v>13.98</v>
      </c>
      <c r="Q30" s="53">
        <f t="shared" si="0"/>
        <v>13.98</v>
      </c>
      <c r="R30" s="20">
        <f t="shared" si="18"/>
        <v>8.98</v>
      </c>
      <c r="S30" s="20">
        <f t="shared" si="19"/>
        <v>0</v>
      </c>
      <c r="T30" s="20">
        <v>13000</v>
      </c>
      <c r="U30" s="30">
        <f t="shared" si="1"/>
        <v>3838.0273972602745</v>
      </c>
      <c r="V30" s="32">
        <f t="shared" si="7"/>
        <v>3838.0273972602745</v>
      </c>
    </row>
    <row r="31" spans="1:22" ht="22.5" x14ac:dyDescent="0.15">
      <c r="A31" s="13" t="s">
        <v>37</v>
      </c>
      <c r="B31" s="7" t="s">
        <v>13</v>
      </c>
      <c r="C31" s="7" t="s">
        <v>43</v>
      </c>
      <c r="D31" s="9">
        <v>25</v>
      </c>
      <c r="E31" s="25">
        <v>38534</v>
      </c>
      <c r="F31" s="10">
        <v>41365</v>
      </c>
      <c r="G31" s="11">
        <f t="shared" si="2"/>
        <v>93</v>
      </c>
      <c r="H31" s="20">
        <v>7.09</v>
      </c>
      <c r="I31" s="19">
        <f t="shared" si="3"/>
        <v>216.69</v>
      </c>
      <c r="J31" s="20">
        <v>170</v>
      </c>
      <c r="K31" s="20">
        <v>216.97</v>
      </c>
      <c r="L31" s="28">
        <f t="shared" si="4"/>
        <v>46.69</v>
      </c>
      <c r="M31" s="20">
        <v>171</v>
      </c>
      <c r="N31" s="49">
        <v>39448</v>
      </c>
      <c r="O31" s="41">
        <f>DATEDIF(N31,F31,"m")</f>
        <v>63</v>
      </c>
      <c r="P31" s="41">
        <v>144.66</v>
      </c>
      <c r="Q31" s="53">
        <f t="shared" si="0"/>
        <v>146.79</v>
      </c>
      <c r="R31" s="20">
        <f>Q31-M31</f>
        <v>-24.210000000000008</v>
      </c>
      <c r="S31" s="20">
        <f t="shared" si="19"/>
        <v>-1</v>
      </c>
      <c r="T31" s="20">
        <v>18000</v>
      </c>
      <c r="U31" s="30">
        <f t="shared" si="1"/>
        <v>27630.246575342466</v>
      </c>
      <c r="V31" s="32">
        <f t="shared" si="7"/>
        <v>-14327.013698630142</v>
      </c>
    </row>
    <row r="32" spans="1:22" ht="22.5" x14ac:dyDescent="0.15">
      <c r="A32" s="13" t="s">
        <v>37</v>
      </c>
      <c r="B32" s="7" t="s">
        <v>121</v>
      </c>
      <c r="C32" s="7" t="s">
        <v>44</v>
      </c>
      <c r="D32" s="9">
        <v>117</v>
      </c>
      <c r="E32" s="25">
        <v>40695</v>
      </c>
      <c r="F32" s="10">
        <v>41365</v>
      </c>
      <c r="G32" s="11">
        <f t="shared" si="2"/>
        <v>22</v>
      </c>
      <c r="H32" s="19">
        <v>1.1000000000000001</v>
      </c>
      <c r="I32" s="19">
        <f t="shared" si="3"/>
        <v>51.260000000000005</v>
      </c>
      <c r="J32" s="20">
        <v>36</v>
      </c>
      <c r="K32" s="20">
        <v>51.3</v>
      </c>
      <c r="L32" s="28">
        <f t="shared" si="4"/>
        <v>15.260000000000005</v>
      </c>
      <c r="M32" s="20">
        <v>36</v>
      </c>
      <c r="N32" s="47">
        <f t="shared" ref="N32:N38" si="20">E32</f>
        <v>40695</v>
      </c>
      <c r="O32" s="41">
        <f t="shared" ref="O32:O38" si="21">DATEDIF(N32,F32,"m")</f>
        <v>22</v>
      </c>
      <c r="P32" s="41">
        <v>51.3</v>
      </c>
      <c r="Q32" s="53">
        <f t="shared" si="0"/>
        <v>51.260000000000005</v>
      </c>
      <c r="R32" s="20">
        <f t="shared" ref="R32:R38" si="22">P32-M32</f>
        <v>15.299999999999997</v>
      </c>
      <c r="S32" s="20">
        <f t="shared" si="19"/>
        <v>0</v>
      </c>
      <c r="T32" s="20">
        <v>13000</v>
      </c>
      <c r="U32" s="30">
        <f t="shared" si="1"/>
        <v>6522.0821917808244</v>
      </c>
      <c r="V32" s="32">
        <f t="shared" si="7"/>
        <v>6539.17808219178</v>
      </c>
    </row>
    <row r="33" spans="1:22" ht="22.5" x14ac:dyDescent="0.15">
      <c r="A33" s="13" t="s">
        <v>37</v>
      </c>
      <c r="B33" s="7" t="s">
        <v>11</v>
      </c>
      <c r="C33" s="13" t="s">
        <v>49</v>
      </c>
      <c r="D33" s="9">
        <v>149</v>
      </c>
      <c r="E33" s="25">
        <v>41260</v>
      </c>
      <c r="F33" s="10">
        <v>41365</v>
      </c>
      <c r="G33" s="11">
        <f t="shared" si="2"/>
        <v>3</v>
      </c>
      <c r="H33" s="20">
        <v>0.03</v>
      </c>
      <c r="I33" s="19">
        <f t="shared" si="3"/>
        <v>6.99</v>
      </c>
      <c r="J33" s="20">
        <v>0</v>
      </c>
      <c r="K33" s="20">
        <v>6.99</v>
      </c>
      <c r="L33" s="28">
        <f t="shared" si="4"/>
        <v>6.99</v>
      </c>
      <c r="M33" s="20">
        <v>9</v>
      </c>
      <c r="N33" s="47">
        <f t="shared" si="20"/>
        <v>41260</v>
      </c>
      <c r="O33" s="41">
        <f t="shared" si="21"/>
        <v>3</v>
      </c>
      <c r="P33" s="41">
        <v>6.99</v>
      </c>
      <c r="Q33" s="53">
        <f t="shared" si="0"/>
        <v>6.99</v>
      </c>
      <c r="R33" s="20">
        <f t="shared" si="22"/>
        <v>-2.0099999999999998</v>
      </c>
      <c r="S33" s="20">
        <f t="shared" si="19"/>
        <v>-9</v>
      </c>
      <c r="T33" s="20">
        <v>13000</v>
      </c>
      <c r="U33" s="30">
        <f t="shared" si="1"/>
        <v>2987.5068493150688</v>
      </c>
      <c r="V33" s="32">
        <f t="shared" si="7"/>
        <v>-859.06849315068484</v>
      </c>
    </row>
    <row r="34" spans="1:22" ht="33.75" x14ac:dyDescent="0.15">
      <c r="A34" s="13" t="s">
        <v>37</v>
      </c>
      <c r="B34" s="7" t="s">
        <v>122</v>
      </c>
      <c r="C34" s="13" t="s">
        <v>50</v>
      </c>
      <c r="D34" s="9">
        <v>153</v>
      </c>
      <c r="E34" s="25">
        <v>41306</v>
      </c>
      <c r="F34" s="10">
        <v>41365</v>
      </c>
      <c r="G34" s="11">
        <f t="shared" si="2"/>
        <v>2</v>
      </c>
      <c r="H34" s="20">
        <v>0.02</v>
      </c>
      <c r="I34" s="19">
        <f t="shared" si="3"/>
        <v>4.66</v>
      </c>
      <c r="J34" s="20">
        <v>0</v>
      </c>
      <c r="K34" s="20">
        <v>4.66</v>
      </c>
      <c r="L34" s="28">
        <f t="shared" si="4"/>
        <v>4.66</v>
      </c>
      <c r="M34" s="20">
        <v>0</v>
      </c>
      <c r="N34" s="47">
        <f t="shared" si="20"/>
        <v>41306</v>
      </c>
      <c r="O34" s="41">
        <f t="shared" si="21"/>
        <v>2</v>
      </c>
      <c r="P34" s="41">
        <v>4.66</v>
      </c>
      <c r="Q34" s="53">
        <f t="shared" si="0"/>
        <v>4.66</v>
      </c>
      <c r="R34" s="20">
        <f t="shared" si="22"/>
        <v>4.66</v>
      </c>
      <c r="S34" s="20">
        <f t="shared" si="19"/>
        <v>0</v>
      </c>
      <c r="T34" s="20">
        <v>13000</v>
      </c>
      <c r="U34" s="30">
        <f t="shared" si="1"/>
        <v>1991.6712328767126</v>
      </c>
      <c r="V34" s="32">
        <f t="shared" si="7"/>
        <v>1991.6712328767126</v>
      </c>
    </row>
    <row r="35" spans="1:22" ht="33.75" x14ac:dyDescent="0.15">
      <c r="A35" s="13" t="s">
        <v>37</v>
      </c>
      <c r="B35" s="7" t="s">
        <v>122</v>
      </c>
      <c r="C35" s="14" t="s">
        <v>51</v>
      </c>
      <c r="D35" s="9">
        <v>152</v>
      </c>
      <c r="E35" s="25">
        <v>41288</v>
      </c>
      <c r="F35" s="10">
        <v>41365</v>
      </c>
      <c r="G35" s="11">
        <f t="shared" si="2"/>
        <v>2</v>
      </c>
      <c r="H35" s="20">
        <v>0.02</v>
      </c>
      <c r="I35" s="19">
        <f t="shared" si="3"/>
        <v>4.66</v>
      </c>
      <c r="J35" s="20">
        <v>0</v>
      </c>
      <c r="K35" s="20">
        <v>4.66</v>
      </c>
      <c r="L35" s="28">
        <f t="shared" si="4"/>
        <v>4.66</v>
      </c>
      <c r="M35" s="20">
        <v>0</v>
      </c>
      <c r="N35" s="47">
        <f t="shared" si="20"/>
        <v>41288</v>
      </c>
      <c r="O35" s="41">
        <f t="shared" si="21"/>
        <v>2</v>
      </c>
      <c r="P35" s="41">
        <v>4.66</v>
      </c>
      <c r="Q35" s="53">
        <f t="shared" si="0"/>
        <v>4.66</v>
      </c>
      <c r="R35" s="20">
        <f t="shared" si="22"/>
        <v>4.66</v>
      </c>
      <c r="S35" s="20">
        <f t="shared" si="19"/>
        <v>0</v>
      </c>
      <c r="T35" s="20">
        <v>13000</v>
      </c>
      <c r="U35" s="30">
        <f t="shared" si="1"/>
        <v>1991.6712328767126</v>
      </c>
      <c r="V35" s="32">
        <f t="shared" si="7"/>
        <v>1991.6712328767126</v>
      </c>
    </row>
    <row r="36" spans="1:22" ht="22.5" x14ac:dyDescent="0.15">
      <c r="A36" s="7" t="s">
        <v>59</v>
      </c>
      <c r="B36" s="7" t="s">
        <v>38</v>
      </c>
      <c r="C36" s="15" t="s">
        <v>58</v>
      </c>
      <c r="D36" s="16">
        <v>122</v>
      </c>
      <c r="E36" s="25">
        <v>40787</v>
      </c>
      <c r="F36" s="10">
        <v>41365</v>
      </c>
      <c r="G36" s="11">
        <f t="shared" si="2"/>
        <v>19</v>
      </c>
      <c r="H36" s="20">
        <v>1.07</v>
      </c>
      <c r="I36" s="19">
        <f t="shared" si="3"/>
        <v>44.27</v>
      </c>
      <c r="J36" s="20">
        <v>33</v>
      </c>
      <c r="K36" s="20">
        <v>44.31</v>
      </c>
      <c r="L36" s="28">
        <f t="shared" si="4"/>
        <v>11.270000000000003</v>
      </c>
      <c r="M36" s="20">
        <v>30</v>
      </c>
      <c r="N36" s="47">
        <f t="shared" si="20"/>
        <v>40787</v>
      </c>
      <c r="O36" s="41">
        <f t="shared" si="21"/>
        <v>19</v>
      </c>
      <c r="P36" s="41">
        <v>44.31</v>
      </c>
      <c r="Q36" s="53">
        <f t="shared" si="0"/>
        <v>44.27</v>
      </c>
      <c r="R36" s="20">
        <f t="shared" si="22"/>
        <v>14.310000000000002</v>
      </c>
      <c r="S36" s="20">
        <f t="shared" si="19"/>
        <v>3</v>
      </c>
      <c r="T36" s="20">
        <v>12000</v>
      </c>
      <c r="U36" s="30">
        <f t="shared" si="1"/>
        <v>4446.2465753424667</v>
      </c>
      <c r="V36" s="32">
        <f t="shared" si="7"/>
        <v>5645.5890410958909</v>
      </c>
    </row>
    <row r="37" spans="1:22" ht="33.75" x14ac:dyDescent="0.15">
      <c r="A37" s="7" t="s">
        <v>59</v>
      </c>
      <c r="B37" s="7" t="s">
        <v>11</v>
      </c>
      <c r="C37" s="7" t="s">
        <v>60</v>
      </c>
      <c r="D37" s="9">
        <v>84</v>
      </c>
      <c r="E37" s="25">
        <v>40136</v>
      </c>
      <c r="F37" s="10">
        <v>41365</v>
      </c>
      <c r="G37" s="11">
        <f t="shared" si="2"/>
        <v>40</v>
      </c>
      <c r="H37" s="20">
        <v>3.04</v>
      </c>
      <c r="I37" s="19">
        <f t="shared" si="3"/>
        <v>93.2</v>
      </c>
      <c r="J37" s="20">
        <v>58</v>
      </c>
      <c r="K37" s="20">
        <v>93.32</v>
      </c>
      <c r="L37" s="28">
        <f t="shared" si="4"/>
        <v>35.200000000000003</v>
      </c>
      <c r="M37" s="20">
        <v>94</v>
      </c>
      <c r="N37" s="47">
        <f t="shared" si="20"/>
        <v>40136</v>
      </c>
      <c r="O37" s="41">
        <f t="shared" si="21"/>
        <v>40</v>
      </c>
      <c r="P37" s="41">
        <v>93.32</v>
      </c>
      <c r="Q37" s="53">
        <f t="shared" ref="Q37:Q56" si="23">O37*2.33</f>
        <v>93.2</v>
      </c>
      <c r="R37" s="20">
        <f t="shared" si="22"/>
        <v>-0.68000000000000682</v>
      </c>
      <c r="S37" s="20">
        <f t="shared" si="19"/>
        <v>-36</v>
      </c>
      <c r="T37" s="20">
        <v>13000</v>
      </c>
      <c r="U37" s="30">
        <f t="shared" ref="U37:U56" si="24">((T37*12)/365)*L37</f>
        <v>15044.383561643837</v>
      </c>
      <c r="V37" s="32">
        <f t="shared" si="7"/>
        <v>-290.63013698630431</v>
      </c>
    </row>
    <row r="38" spans="1:22" ht="22.5" x14ac:dyDescent="0.15">
      <c r="A38" s="7" t="s">
        <v>59</v>
      </c>
      <c r="B38" s="7" t="s">
        <v>13</v>
      </c>
      <c r="C38" s="7" t="s">
        <v>61</v>
      </c>
      <c r="D38" s="9">
        <v>82</v>
      </c>
      <c r="E38" s="25">
        <v>40119</v>
      </c>
      <c r="F38" s="10">
        <v>41365</v>
      </c>
      <c r="G38" s="11">
        <f t="shared" si="2"/>
        <v>40</v>
      </c>
      <c r="H38" s="20">
        <v>3.05</v>
      </c>
      <c r="I38" s="19">
        <f t="shared" si="3"/>
        <v>93.2</v>
      </c>
      <c r="J38" s="20">
        <v>65</v>
      </c>
      <c r="K38" s="20">
        <v>95.65</v>
      </c>
      <c r="L38" s="28">
        <f t="shared" si="4"/>
        <v>28.200000000000003</v>
      </c>
      <c r="M38" s="20">
        <v>90</v>
      </c>
      <c r="N38" s="47">
        <f t="shared" si="20"/>
        <v>40119</v>
      </c>
      <c r="O38" s="41">
        <f t="shared" si="21"/>
        <v>40</v>
      </c>
      <c r="P38" s="41">
        <v>95.65</v>
      </c>
      <c r="Q38" s="53">
        <f t="shared" si="23"/>
        <v>93.2</v>
      </c>
      <c r="R38" s="20">
        <f t="shared" si="22"/>
        <v>5.6500000000000057</v>
      </c>
      <c r="S38" s="20">
        <f t="shared" si="19"/>
        <v>-25</v>
      </c>
      <c r="T38" s="20">
        <v>18000</v>
      </c>
      <c r="U38" s="30">
        <f t="shared" si="24"/>
        <v>16688.219178082192</v>
      </c>
      <c r="V38" s="32">
        <f t="shared" si="7"/>
        <v>3343.5616438356196</v>
      </c>
    </row>
    <row r="39" spans="1:22" ht="33.75" x14ac:dyDescent="0.15">
      <c r="A39" s="7" t="s">
        <v>59</v>
      </c>
      <c r="B39" s="7" t="s">
        <v>27</v>
      </c>
      <c r="C39" s="7" t="s">
        <v>62</v>
      </c>
      <c r="D39" s="9">
        <v>18</v>
      </c>
      <c r="E39" s="25">
        <v>38215</v>
      </c>
      <c r="F39" s="10">
        <v>41365</v>
      </c>
      <c r="G39" s="11">
        <f t="shared" si="2"/>
        <v>103</v>
      </c>
      <c r="H39" s="20">
        <v>8.07</v>
      </c>
      <c r="I39" s="19">
        <f t="shared" si="3"/>
        <v>239.99</v>
      </c>
      <c r="J39" s="20">
        <v>200</v>
      </c>
      <c r="K39" s="20">
        <v>240.31</v>
      </c>
      <c r="L39" s="28">
        <f t="shared" si="4"/>
        <v>39.990000000000009</v>
      </c>
      <c r="M39" s="20">
        <v>138</v>
      </c>
      <c r="N39" s="49">
        <v>39448</v>
      </c>
      <c r="O39" s="41">
        <f>DATEDIF(N39,F39,"m")</f>
        <v>63</v>
      </c>
      <c r="P39" s="41">
        <v>144.66</v>
      </c>
      <c r="Q39" s="53">
        <f t="shared" si="23"/>
        <v>146.79</v>
      </c>
      <c r="R39" s="20">
        <f>Q39-M39</f>
        <v>8.789999999999992</v>
      </c>
      <c r="S39" s="20">
        <f t="shared" si="19"/>
        <v>62</v>
      </c>
      <c r="T39" s="20">
        <v>14000</v>
      </c>
      <c r="U39" s="30">
        <f t="shared" si="24"/>
        <v>18406.356164383564</v>
      </c>
      <c r="V39" s="32">
        <f t="shared" si="7"/>
        <v>4045.8082191780786</v>
      </c>
    </row>
    <row r="40" spans="1:22" ht="22.5" x14ac:dyDescent="0.15">
      <c r="A40" s="7" t="s">
        <v>59</v>
      </c>
      <c r="B40" s="7" t="s">
        <v>11</v>
      </c>
      <c r="C40" s="7" t="s">
        <v>63</v>
      </c>
      <c r="D40" s="9">
        <v>104</v>
      </c>
      <c r="E40" s="25">
        <v>40469</v>
      </c>
      <c r="F40" s="10">
        <v>41365</v>
      </c>
      <c r="G40" s="11">
        <f t="shared" si="2"/>
        <v>29</v>
      </c>
      <c r="H40" s="20">
        <v>2.0499999999999998</v>
      </c>
      <c r="I40" s="19">
        <f t="shared" si="3"/>
        <v>67.570000000000007</v>
      </c>
      <c r="J40" s="20">
        <v>56</v>
      </c>
      <c r="K40" s="20">
        <v>67.650000000000006</v>
      </c>
      <c r="L40" s="28">
        <f t="shared" si="4"/>
        <v>11.570000000000007</v>
      </c>
      <c r="M40" s="20">
        <v>56</v>
      </c>
      <c r="N40" s="47">
        <f t="shared" ref="N40:N41" si="25">E40</f>
        <v>40469</v>
      </c>
      <c r="O40" s="41">
        <f t="shared" ref="O40:O41" si="26">DATEDIF(N40,F40,"m")</f>
        <v>29</v>
      </c>
      <c r="P40" s="41">
        <v>67.650000000000006</v>
      </c>
      <c r="Q40" s="53">
        <f t="shared" si="23"/>
        <v>67.570000000000007</v>
      </c>
      <c r="R40" s="20">
        <f>P40-M40</f>
        <v>11.650000000000006</v>
      </c>
      <c r="S40" s="20">
        <f t="shared" si="19"/>
        <v>0</v>
      </c>
      <c r="T40" s="20">
        <v>13000</v>
      </c>
      <c r="U40" s="30">
        <f t="shared" si="24"/>
        <v>4944.9863013698659</v>
      </c>
      <c r="V40" s="32">
        <f t="shared" si="7"/>
        <v>4979.1780821917837</v>
      </c>
    </row>
    <row r="41" spans="1:22" ht="33.75" x14ac:dyDescent="0.15">
      <c r="A41" s="7" t="s">
        <v>59</v>
      </c>
      <c r="B41" s="7" t="s">
        <v>122</v>
      </c>
      <c r="C41" s="7" t="s">
        <v>64</v>
      </c>
      <c r="D41" s="9">
        <v>150</v>
      </c>
      <c r="E41" s="25">
        <v>41283</v>
      </c>
      <c r="F41" s="10">
        <v>41365</v>
      </c>
      <c r="G41" s="11">
        <f t="shared" si="2"/>
        <v>2</v>
      </c>
      <c r="H41" s="20">
        <v>0.02</v>
      </c>
      <c r="I41" s="19">
        <f t="shared" si="3"/>
        <v>4.66</v>
      </c>
      <c r="J41" s="20">
        <v>0</v>
      </c>
      <c r="K41" s="20">
        <v>4.66</v>
      </c>
      <c r="L41" s="28">
        <f t="shared" si="4"/>
        <v>4.66</v>
      </c>
      <c r="M41" s="20">
        <v>0</v>
      </c>
      <c r="N41" s="47">
        <f t="shared" si="25"/>
        <v>41283</v>
      </c>
      <c r="O41" s="41">
        <f t="shared" si="26"/>
        <v>2</v>
      </c>
      <c r="P41" s="41">
        <v>4.66</v>
      </c>
      <c r="Q41" s="53">
        <f t="shared" si="23"/>
        <v>4.66</v>
      </c>
      <c r="R41" s="20">
        <f>P41-M41</f>
        <v>4.66</v>
      </c>
      <c r="S41" s="20">
        <f t="shared" si="19"/>
        <v>0</v>
      </c>
      <c r="T41" s="20">
        <v>13000</v>
      </c>
      <c r="U41" s="30">
        <f t="shared" si="24"/>
        <v>1991.6712328767126</v>
      </c>
      <c r="V41" s="32">
        <f t="shared" si="7"/>
        <v>1991.6712328767126</v>
      </c>
    </row>
    <row r="42" spans="1:22" ht="33.75" x14ac:dyDescent="0.15">
      <c r="A42" s="7" t="s">
        <v>65</v>
      </c>
      <c r="B42" s="7" t="s">
        <v>66</v>
      </c>
      <c r="C42" s="7" t="s">
        <v>67</v>
      </c>
      <c r="D42" s="9">
        <v>31</v>
      </c>
      <c r="E42" s="25">
        <v>38727</v>
      </c>
      <c r="F42" s="10">
        <v>41365</v>
      </c>
      <c r="G42" s="11">
        <f t="shared" si="2"/>
        <v>86</v>
      </c>
      <c r="H42" s="20">
        <v>7.02</v>
      </c>
      <c r="I42" s="19">
        <f t="shared" si="3"/>
        <v>200.38</v>
      </c>
      <c r="J42" s="20">
        <v>173</v>
      </c>
      <c r="K42" s="20">
        <v>200.66</v>
      </c>
      <c r="L42" s="28">
        <f t="shared" si="4"/>
        <v>27.379999999999995</v>
      </c>
      <c r="M42" s="20">
        <v>120</v>
      </c>
      <c r="N42" s="49">
        <v>39448</v>
      </c>
      <c r="O42" s="41">
        <f>DATEDIF(N42,F42,"m")</f>
        <v>63</v>
      </c>
      <c r="P42" s="41">
        <v>144.66</v>
      </c>
      <c r="Q42" s="53">
        <f t="shared" si="23"/>
        <v>146.79</v>
      </c>
      <c r="R42" s="20">
        <f>Q42-M42</f>
        <v>26.789999999999992</v>
      </c>
      <c r="S42" s="20">
        <f t="shared" si="19"/>
        <v>53</v>
      </c>
      <c r="T42" s="20">
        <v>18000</v>
      </c>
      <c r="U42" s="30">
        <f t="shared" si="24"/>
        <v>16202.958904109586</v>
      </c>
      <c r="V42" s="32">
        <f t="shared" si="7"/>
        <v>15853.808219178078</v>
      </c>
    </row>
    <row r="43" spans="1:22" ht="22.5" x14ac:dyDescent="0.15">
      <c r="A43" s="7" t="s">
        <v>65</v>
      </c>
      <c r="B43" s="7" t="s">
        <v>68</v>
      </c>
      <c r="C43" s="7" t="s">
        <v>69</v>
      </c>
      <c r="D43" s="9">
        <v>127</v>
      </c>
      <c r="E43" s="25">
        <v>40918</v>
      </c>
      <c r="F43" s="10">
        <v>41365</v>
      </c>
      <c r="G43" s="11">
        <f t="shared" si="2"/>
        <v>14</v>
      </c>
      <c r="H43" s="20">
        <v>1.02</v>
      </c>
      <c r="I43" s="19">
        <f t="shared" si="3"/>
        <v>32.620000000000005</v>
      </c>
      <c r="J43" s="20">
        <v>20</v>
      </c>
      <c r="K43" s="20">
        <v>32.659999999999997</v>
      </c>
      <c r="L43" s="28">
        <f t="shared" si="4"/>
        <v>12.620000000000005</v>
      </c>
      <c r="M43" s="20">
        <v>18</v>
      </c>
      <c r="N43" s="47">
        <f t="shared" ref="N43" si="27">E43</f>
        <v>40918</v>
      </c>
      <c r="O43" s="41">
        <f t="shared" ref="O43" si="28">DATEDIF(N43,F43,"m")</f>
        <v>14</v>
      </c>
      <c r="P43" s="41">
        <v>32.659999999999997</v>
      </c>
      <c r="Q43" s="53">
        <f t="shared" si="23"/>
        <v>32.620000000000005</v>
      </c>
      <c r="R43" s="20">
        <f>P43-M43</f>
        <v>14.659999999999997</v>
      </c>
      <c r="S43" s="20">
        <f t="shared" si="19"/>
        <v>2</v>
      </c>
      <c r="T43" s="20">
        <v>12000</v>
      </c>
      <c r="U43" s="30">
        <f t="shared" si="24"/>
        <v>4978.8493150684944</v>
      </c>
      <c r="V43" s="32">
        <f t="shared" si="7"/>
        <v>5783.6712328767107</v>
      </c>
    </row>
    <row r="44" spans="1:22" ht="33.75" x14ac:dyDescent="0.15">
      <c r="A44" s="7" t="s">
        <v>65</v>
      </c>
      <c r="B44" s="7" t="s">
        <v>68</v>
      </c>
      <c r="C44" s="7" t="s">
        <v>70</v>
      </c>
      <c r="D44" s="9">
        <v>58</v>
      </c>
      <c r="E44" s="25">
        <v>39479</v>
      </c>
      <c r="F44" s="10">
        <v>41365</v>
      </c>
      <c r="G44" s="11">
        <f t="shared" si="2"/>
        <v>62</v>
      </c>
      <c r="H44" s="20">
        <v>5.0199999999999996</v>
      </c>
      <c r="I44" s="19">
        <f t="shared" si="3"/>
        <v>144.46</v>
      </c>
      <c r="J44" s="20">
        <v>140</v>
      </c>
      <c r="K44" s="20">
        <v>144.66</v>
      </c>
      <c r="L44" s="28">
        <f t="shared" si="4"/>
        <v>4.460000000000008</v>
      </c>
      <c r="M44" s="20">
        <v>152</v>
      </c>
      <c r="N44" s="49">
        <v>39448</v>
      </c>
      <c r="O44" s="41">
        <f>DATEDIF(E44,F44,"m")</f>
        <v>62</v>
      </c>
      <c r="P44" s="41">
        <v>144.66</v>
      </c>
      <c r="Q44" s="53">
        <f t="shared" si="23"/>
        <v>144.46</v>
      </c>
      <c r="R44" s="20">
        <f>Q44-M44</f>
        <v>-7.539999999999992</v>
      </c>
      <c r="S44" s="20">
        <f t="shared" si="19"/>
        <v>-12</v>
      </c>
      <c r="T44" s="20">
        <v>12000</v>
      </c>
      <c r="U44" s="30">
        <f t="shared" si="24"/>
        <v>1759.5616438356194</v>
      </c>
      <c r="V44" s="32">
        <f t="shared" si="7"/>
        <v>-2974.6849315068462</v>
      </c>
    </row>
    <row r="45" spans="1:22" ht="22.5" x14ac:dyDescent="0.15">
      <c r="A45" s="7" t="s">
        <v>65</v>
      </c>
      <c r="B45" s="7" t="s">
        <v>68</v>
      </c>
      <c r="C45" s="7" t="s">
        <v>71</v>
      </c>
      <c r="D45" s="9">
        <v>96</v>
      </c>
      <c r="E45" s="25">
        <v>40360</v>
      </c>
      <c r="F45" s="10">
        <v>41365</v>
      </c>
      <c r="G45" s="11">
        <f t="shared" si="2"/>
        <v>33</v>
      </c>
      <c r="H45" s="20">
        <v>2.09</v>
      </c>
      <c r="I45" s="19">
        <f t="shared" si="3"/>
        <v>76.89</v>
      </c>
      <c r="J45" s="20">
        <v>42</v>
      </c>
      <c r="K45" s="20">
        <v>76.97</v>
      </c>
      <c r="L45" s="28">
        <f t="shared" si="4"/>
        <v>34.89</v>
      </c>
      <c r="M45" s="20">
        <v>54</v>
      </c>
      <c r="N45" s="47">
        <f t="shared" ref="N45:N47" si="29">E45</f>
        <v>40360</v>
      </c>
      <c r="O45" s="41">
        <f t="shared" ref="O45:O47" si="30">DATEDIF(N45,F45,"m")</f>
        <v>33</v>
      </c>
      <c r="P45" s="41">
        <v>76.97</v>
      </c>
      <c r="Q45" s="53">
        <f t="shared" si="23"/>
        <v>76.89</v>
      </c>
      <c r="R45" s="20">
        <f>P45-M45</f>
        <v>22.97</v>
      </c>
      <c r="S45" s="20">
        <f t="shared" si="19"/>
        <v>-12</v>
      </c>
      <c r="T45" s="20">
        <v>12000</v>
      </c>
      <c r="U45" s="30">
        <f t="shared" si="24"/>
        <v>13764.821917808218</v>
      </c>
      <c r="V45" s="32">
        <f t="shared" si="7"/>
        <v>9062.1369863013697</v>
      </c>
    </row>
    <row r="46" spans="1:22" ht="22.5" x14ac:dyDescent="0.15">
      <c r="A46" s="7" t="s">
        <v>65</v>
      </c>
      <c r="B46" s="7" t="s">
        <v>68</v>
      </c>
      <c r="C46" s="7" t="s">
        <v>72</v>
      </c>
      <c r="D46" s="9">
        <v>133</v>
      </c>
      <c r="E46" s="25">
        <v>41001</v>
      </c>
      <c r="F46" s="10">
        <v>41365</v>
      </c>
      <c r="G46" s="11">
        <f t="shared" si="2"/>
        <v>11</v>
      </c>
      <c r="H46" s="19">
        <v>1</v>
      </c>
      <c r="I46" s="19">
        <f t="shared" si="3"/>
        <v>25.630000000000003</v>
      </c>
      <c r="J46" s="20">
        <v>10</v>
      </c>
      <c r="K46" s="20">
        <v>28</v>
      </c>
      <c r="L46" s="28">
        <f t="shared" si="4"/>
        <v>15.630000000000003</v>
      </c>
      <c r="M46" s="20">
        <v>16</v>
      </c>
      <c r="N46" s="47">
        <f t="shared" si="29"/>
        <v>41001</v>
      </c>
      <c r="O46" s="41">
        <f t="shared" si="30"/>
        <v>11</v>
      </c>
      <c r="P46" s="41">
        <v>28</v>
      </c>
      <c r="Q46" s="53">
        <f t="shared" si="23"/>
        <v>25.630000000000003</v>
      </c>
      <c r="R46" s="20">
        <f>P46-M46</f>
        <v>12</v>
      </c>
      <c r="S46" s="20">
        <f t="shared" si="19"/>
        <v>-6</v>
      </c>
      <c r="T46" s="20">
        <v>12000</v>
      </c>
      <c r="U46" s="30">
        <f t="shared" si="24"/>
        <v>6166.3561643835628</v>
      </c>
      <c r="V46" s="32">
        <f t="shared" si="7"/>
        <v>4734.2465753424658</v>
      </c>
    </row>
    <row r="47" spans="1:22" ht="33.75" x14ac:dyDescent="0.15">
      <c r="A47" s="7" t="s">
        <v>65</v>
      </c>
      <c r="B47" s="7" t="s">
        <v>73</v>
      </c>
      <c r="C47" s="7" t="s">
        <v>74</v>
      </c>
      <c r="D47" s="9">
        <v>135</v>
      </c>
      <c r="E47" s="25">
        <v>41067</v>
      </c>
      <c r="F47" s="10">
        <v>41365</v>
      </c>
      <c r="G47" s="11">
        <f t="shared" si="2"/>
        <v>9</v>
      </c>
      <c r="H47" s="20">
        <v>0.09</v>
      </c>
      <c r="I47" s="19">
        <f t="shared" si="3"/>
        <v>20.97</v>
      </c>
      <c r="J47" s="20">
        <v>21</v>
      </c>
      <c r="K47" s="20">
        <v>20.97</v>
      </c>
      <c r="L47" s="28">
        <f t="shared" si="4"/>
        <v>-3.0000000000001137E-2</v>
      </c>
      <c r="M47" s="20">
        <v>29</v>
      </c>
      <c r="N47" s="47">
        <f t="shared" si="29"/>
        <v>41067</v>
      </c>
      <c r="O47" s="41">
        <f t="shared" si="30"/>
        <v>9</v>
      </c>
      <c r="P47" s="41">
        <v>20.97</v>
      </c>
      <c r="Q47" s="53">
        <f t="shared" si="23"/>
        <v>20.97</v>
      </c>
      <c r="R47" s="20">
        <f>P47-M47</f>
        <v>-8.0300000000000011</v>
      </c>
      <c r="S47" s="20">
        <f t="shared" si="19"/>
        <v>-8</v>
      </c>
      <c r="T47" s="20">
        <v>13000</v>
      </c>
      <c r="U47" s="30">
        <f t="shared" si="24"/>
        <v>-12.821917808219665</v>
      </c>
      <c r="V47" s="32">
        <f t="shared" si="7"/>
        <v>-3432.0000000000005</v>
      </c>
    </row>
    <row r="48" spans="1:22" ht="22.5" x14ac:dyDescent="0.15">
      <c r="A48" s="7" t="s">
        <v>65</v>
      </c>
      <c r="B48" s="7" t="s">
        <v>75</v>
      </c>
      <c r="C48" s="7" t="s">
        <v>76</v>
      </c>
      <c r="D48" s="9">
        <v>43</v>
      </c>
      <c r="E48" s="25">
        <v>39234</v>
      </c>
      <c r="F48" s="10">
        <v>41365</v>
      </c>
      <c r="G48" s="11">
        <f t="shared" si="2"/>
        <v>70</v>
      </c>
      <c r="H48" s="19">
        <v>5.0999999999999996</v>
      </c>
      <c r="I48" s="19">
        <f t="shared" si="3"/>
        <v>163.1</v>
      </c>
      <c r="J48" s="20">
        <v>155</v>
      </c>
      <c r="K48" s="20">
        <v>163.30000000000001</v>
      </c>
      <c r="L48" s="28">
        <f t="shared" si="4"/>
        <v>8.0999999999999943</v>
      </c>
      <c r="M48" s="20">
        <v>157</v>
      </c>
      <c r="N48" s="49">
        <v>39448</v>
      </c>
      <c r="O48" s="41">
        <f>DATEDIF(N48,F48,"m")</f>
        <v>63</v>
      </c>
      <c r="P48" s="41">
        <v>144.66</v>
      </c>
      <c r="Q48" s="53">
        <f t="shared" si="23"/>
        <v>146.79</v>
      </c>
      <c r="R48" s="20">
        <f>Q48-M48</f>
        <v>-10.210000000000008</v>
      </c>
      <c r="S48" s="20">
        <f t="shared" si="19"/>
        <v>-2</v>
      </c>
      <c r="T48" s="20">
        <v>12000</v>
      </c>
      <c r="U48" s="30">
        <f t="shared" si="24"/>
        <v>3195.6164383561622</v>
      </c>
      <c r="V48" s="32">
        <f t="shared" si="7"/>
        <v>-4028.0547945205508</v>
      </c>
    </row>
    <row r="49" spans="1:22" ht="22.5" x14ac:dyDescent="0.15">
      <c r="A49" s="13" t="s">
        <v>77</v>
      </c>
      <c r="B49" s="17" t="s">
        <v>78</v>
      </c>
      <c r="C49" s="7" t="s">
        <v>79</v>
      </c>
      <c r="D49" s="9">
        <v>3</v>
      </c>
      <c r="E49" s="25">
        <v>37622</v>
      </c>
      <c r="F49" s="10">
        <v>41365</v>
      </c>
      <c r="G49" s="11">
        <f t="shared" si="2"/>
        <v>123</v>
      </c>
      <c r="H49" s="20">
        <v>10.029999999999999</v>
      </c>
      <c r="I49" s="19">
        <f t="shared" si="3"/>
        <v>286.59000000000003</v>
      </c>
      <c r="J49" s="20">
        <v>256</v>
      </c>
      <c r="K49" s="20">
        <v>286.99</v>
      </c>
      <c r="L49" s="28">
        <f t="shared" si="4"/>
        <v>30.590000000000032</v>
      </c>
      <c r="M49" s="20">
        <v>120</v>
      </c>
      <c r="N49" s="49">
        <v>39448</v>
      </c>
      <c r="O49" s="41">
        <f>DATEDIF(N49,F49,"m")</f>
        <v>63</v>
      </c>
      <c r="P49" s="41">
        <v>144.66</v>
      </c>
      <c r="Q49" s="53">
        <f t="shared" si="23"/>
        <v>146.79</v>
      </c>
      <c r="R49" s="20">
        <f>Q49-M49</f>
        <v>26.789999999999992</v>
      </c>
      <c r="S49" s="42"/>
      <c r="T49" s="20">
        <v>20000</v>
      </c>
      <c r="U49" s="30">
        <f t="shared" si="24"/>
        <v>20113.972602739745</v>
      </c>
      <c r="V49" s="32">
        <f t="shared" si="7"/>
        <v>17615.34246575342</v>
      </c>
    </row>
    <row r="50" spans="1:22" ht="22.5" x14ac:dyDescent="0.15">
      <c r="A50" s="13" t="s">
        <v>77</v>
      </c>
      <c r="B50" s="22" t="s">
        <v>80</v>
      </c>
      <c r="C50" s="12" t="s">
        <v>81</v>
      </c>
      <c r="D50" s="9">
        <v>36</v>
      </c>
      <c r="E50" s="25">
        <v>38930</v>
      </c>
      <c r="F50" s="10">
        <v>41365</v>
      </c>
      <c r="G50" s="11">
        <f t="shared" si="2"/>
        <v>80</v>
      </c>
      <c r="H50" s="20">
        <v>6.08</v>
      </c>
      <c r="I50" s="19">
        <f t="shared" si="3"/>
        <v>186.4</v>
      </c>
      <c r="J50" s="20">
        <v>136</v>
      </c>
      <c r="K50" s="20">
        <v>186.64</v>
      </c>
      <c r="L50" s="28">
        <f t="shared" si="4"/>
        <v>50.400000000000006</v>
      </c>
      <c r="M50" s="20">
        <v>126</v>
      </c>
      <c r="N50" s="49">
        <v>39448</v>
      </c>
      <c r="O50" s="41">
        <f>DATEDIF(N50,F50,"m")</f>
        <v>63</v>
      </c>
      <c r="P50" s="41">
        <v>144.66</v>
      </c>
      <c r="Q50" s="53">
        <f t="shared" si="23"/>
        <v>146.79</v>
      </c>
      <c r="R50" s="20">
        <f>Q50-M50</f>
        <v>20.789999999999992</v>
      </c>
      <c r="S50" s="20">
        <f t="shared" ref="S50:S56" si="31">J50-M50</f>
        <v>10</v>
      </c>
      <c r="T50" s="20">
        <v>13000</v>
      </c>
      <c r="U50" s="30">
        <f t="shared" si="24"/>
        <v>21540.821917808222</v>
      </c>
      <c r="V50" s="32">
        <f t="shared" si="7"/>
        <v>8885.5890410958873</v>
      </c>
    </row>
    <row r="51" spans="1:22" ht="22.5" x14ac:dyDescent="0.15">
      <c r="A51" s="13" t="s">
        <v>77</v>
      </c>
      <c r="B51" s="7" t="s">
        <v>80</v>
      </c>
      <c r="C51" s="7" t="s">
        <v>82</v>
      </c>
      <c r="D51" s="9">
        <v>63</v>
      </c>
      <c r="E51" s="25">
        <v>39572</v>
      </c>
      <c r="F51" s="10">
        <v>41365</v>
      </c>
      <c r="G51" s="11">
        <f t="shared" si="2"/>
        <v>58</v>
      </c>
      <c r="H51" s="19">
        <v>4.0999999999999996</v>
      </c>
      <c r="I51" s="19">
        <f t="shared" si="3"/>
        <v>135.14000000000001</v>
      </c>
      <c r="J51" s="20">
        <v>21</v>
      </c>
      <c r="K51" s="20">
        <v>135.30000000000001</v>
      </c>
      <c r="L51" s="28">
        <f t="shared" si="4"/>
        <v>114.14000000000001</v>
      </c>
      <c r="M51" s="20">
        <v>40</v>
      </c>
      <c r="N51" s="49">
        <v>39448</v>
      </c>
      <c r="O51" s="41">
        <f>DATEDIF(E51,F51,"m")</f>
        <v>58</v>
      </c>
      <c r="P51" s="41">
        <v>135.30000000000001</v>
      </c>
      <c r="Q51" s="53">
        <f t="shared" si="23"/>
        <v>135.14000000000001</v>
      </c>
      <c r="R51" s="20">
        <f>Q51-M51</f>
        <v>95.140000000000015</v>
      </c>
      <c r="S51" s="20">
        <f t="shared" si="31"/>
        <v>-19</v>
      </c>
      <c r="T51" s="20">
        <v>13000</v>
      </c>
      <c r="U51" s="30">
        <f t="shared" si="24"/>
        <v>48783.123287671238</v>
      </c>
      <c r="V51" s="32">
        <f t="shared" si="7"/>
        <v>40662.57534246576</v>
      </c>
    </row>
    <row r="52" spans="1:22" ht="22.5" x14ac:dyDescent="0.15">
      <c r="A52" s="13" t="s">
        <v>77</v>
      </c>
      <c r="B52" s="7" t="s">
        <v>80</v>
      </c>
      <c r="C52" s="7" t="s">
        <v>83</v>
      </c>
      <c r="D52" s="9">
        <v>144</v>
      </c>
      <c r="E52" s="25">
        <v>41183</v>
      </c>
      <c r="F52" s="10">
        <v>41365</v>
      </c>
      <c r="G52" s="11">
        <f t="shared" si="2"/>
        <v>6</v>
      </c>
      <c r="H52" s="20">
        <v>0.06</v>
      </c>
      <c r="I52" s="19">
        <f t="shared" si="3"/>
        <v>13.98</v>
      </c>
      <c r="J52" s="20">
        <v>0</v>
      </c>
      <c r="K52" s="20">
        <v>13.98</v>
      </c>
      <c r="L52" s="28">
        <f t="shared" si="4"/>
        <v>13.98</v>
      </c>
      <c r="M52" s="20">
        <v>0</v>
      </c>
      <c r="N52" s="47">
        <f t="shared" ref="N52:N53" si="32">E52</f>
        <v>41183</v>
      </c>
      <c r="O52" s="41">
        <f t="shared" ref="O52:O53" si="33">DATEDIF(N52,F52,"m")</f>
        <v>6</v>
      </c>
      <c r="P52" s="41">
        <v>13.98</v>
      </c>
      <c r="Q52" s="53">
        <f t="shared" si="23"/>
        <v>13.98</v>
      </c>
      <c r="R52" s="20">
        <f>P52-M52</f>
        <v>13.98</v>
      </c>
      <c r="S52" s="20">
        <f t="shared" si="31"/>
        <v>0</v>
      </c>
      <c r="T52" s="20">
        <v>13000</v>
      </c>
      <c r="U52" s="30">
        <f t="shared" si="24"/>
        <v>5975.0136986301377</v>
      </c>
      <c r="V52" s="32">
        <f t="shared" si="7"/>
        <v>5975.0136986301377</v>
      </c>
    </row>
    <row r="53" spans="1:22" ht="33.75" x14ac:dyDescent="0.15">
      <c r="A53" s="13" t="s">
        <v>77</v>
      </c>
      <c r="B53" s="7" t="s">
        <v>80</v>
      </c>
      <c r="C53" s="7" t="s">
        <v>84</v>
      </c>
      <c r="D53" s="9">
        <v>145</v>
      </c>
      <c r="E53" s="25">
        <v>41183</v>
      </c>
      <c r="F53" s="10">
        <v>41365</v>
      </c>
      <c r="G53" s="11">
        <f t="shared" si="2"/>
        <v>6</v>
      </c>
      <c r="H53" s="20">
        <v>0.06</v>
      </c>
      <c r="I53" s="19">
        <f t="shared" si="3"/>
        <v>13.98</v>
      </c>
      <c r="J53" s="20">
        <v>0</v>
      </c>
      <c r="K53" s="20">
        <v>13.98</v>
      </c>
      <c r="L53" s="28">
        <f t="shared" si="4"/>
        <v>13.98</v>
      </c>
      <c r="M53" s="20">
        <v>0</v>
      </c>
      <c r="N53" s="47">
        <f t="shared" si="32"/>
        <v>41183</v>
      </c>
      <c r="O53" s="41">
        <f t="shared" si="33"/>
        <v>6</v>
      </c>
      <c r="P53" s="41">
        <v>13.98</v>
      </c>
      <c r="Q53" s="53">
        <f t="shared" si="23"/>
        <v>13.98</v>
      </c>
      <c r="R53" s="20">
        <f>P53-M53</f>
        <v>13.98</v>
      </c>
      <c r="S53" s="20">
        <f t="shared" si="31"/>
        <v>0</v>
      </c>
      <c r="T53" s="20">
        <v>13000</v>
      </c>
      <c r="U53" s="30">
        <f t="shared" si="24"/>
        <v>5975.0136986301377</v>
      </c>
      <c r="V53" s="32">
        <f t="shared" si="7"/>
        <v>5975.0136986301377</v>
      </c>
    </row>
    <row r="54" spans="1:22" ht="22.5" x14ac:dyDescent="0.15">
      <c r="A54" s="13" t="s">
        <v>77</v>
      </c>
      <c r="B54" s="7" t="s">
        <v>80</v>
      </c>
      <c r="C54" s="7" t="s">
        <v>85</v>
      </c>
      <c r="D54" s="9">
        <v>20</v>
      </c>
      <c r="E54" s="25">
        <v>38200</v>
      </c>
      <c r="F54" s="10">
        <v>41365</v>
      </c>
      <c r="G54" s="11">
        <f t="shared" si="2"/>
        <v>104</v>
      </c>
      <c r="H54" s="20">
        <v>8.08</v>
      </c>
      <c r="I54" s="19">
        <f t="shared" si="3"/>
        <v>242.32</v>
      </c>
      <c r="J54" s="20">
        <v>102</v>
      </c>
      <c r="K54" s="20">
        <v>242.64</v>
      </c>
      <c r="L54" s="28">
        <f t="shared" si="4"/>
        <v>140.32</v>
      </c>
      <c r="M54" s="20">
        <v>124</v>
      </c>
      <c r="N54" s="49">
        <v>39448</v>
      </c>
      <c r="O54" s="41">
        <f>DATEDIF(N54,F54,"m")</f>
        <v>63</v>
      </c>
      <c r="P54" s="41">
        <v>144.66</v>
      </c>
      <c r="Q54" s="53">
        <f t="shared" si="23"/>
        <v>146.79</v>
      </c>
      <c r="R54" s="20">
        <f>Q54-M54</f>
        <v>22.789999999999992</v>
      </c>
      <c r="S54" s="20">
        <f t="shared" si="31"/>
        <v>-22</v>
      </c>
      <c r="T54" s="20">
        <v>13000</v>
      </c>
      <c r="U54" s="30">
        <f t="shared" si="24"/>
        <v>59972.383561643837</v>
      </c>
      <c r="V54" s="32">
        <f t="shared" si="7"/>
        <v>9740.3835616438319</v>
      </c>
    </row>
    <row r="55" spans="1:22" ht="22.5" x14ac:dyDescent="0.15">
      <c r="A55" s="13" t="s">
        <v>77</v>
      </c>
      <c r="B55" s="7" t="s">
        <v>80</v>
      </c>
      <c r="C55" s="7" t="s">
        <v>86</v>
      </c>
      <c r="D55" s="9">
        <v>65</v>
      </c>
      <c r="E55" s="25">
        <v>39601</v>
      </c>
      <c r="F55" s="10">
        <v>41365</v>
      </c>
      <c r="G55" s="11">
        <f t="shared" si="2"/>
        <v>57</v>
      </c>
      <c r="H55" s="19">
        <v>4.0999999999999996</v>
      </c>
      <c r="I55" s="19">
        <f t="shared" si="3"/>
        <v>132.81</v>
      </c>
      <c r="J55" s="20">
        <v>115</v>
      </c>
      <c r="K55" s="20">
        <v>135.30000000000001</v>
      </c>
      <c r="L55" s="28">
        <f t="shared" si="4"/>
        <v>17.810000000000002</v>
      </c>
      <c r="M55" s="20">
        <v>148</v>
      </c>
      <c r="N55" s="49">
        <v>39448</v>
      </c>
      <c r="O55" s="41">
        <f>DATEDIF(E55,F55,"m")</f>
        <v>57</v>
      </c>
      <c r="P55" s="41">
        <v>135.30000000000001</v>
      </c>
      <c r="Q55" s="53">
        <f t="shared" si="23"/>
        <v>132.81</v>
      </c>
      <c r="R55" s="20">
        <f>Q55-M55</f>
        <v>-15.189999999999998</v>
      </c>
      <c r="S55" s="20">
        <f t="shared" si="31"/>
        <v>-33</v>
      </c>
      <c r="T55" s="20">
        <v>13000</v>
      </c>
      <c r="U55" s="30">
        <f t="shared" si="24"/>
        <v>7611.9452054794538</v>
      </c>
      <c r="V55" s="32">
        <f t="shared" si="7"/>
        <v>-6492.1643835616433</v>
      </c>
    </row>
    <row r="56" spans="1:22" ht="22.5" x14ac:dyDescent="0.15">
      <c r="A56" s="13" t="s">
        <v>77</v>
      </c>
      <c r="B56" s="7" t="s">
        <v>80</v>
      </c>
      <c r="C56" s="7" t="s">
        <v>87</v>
      </c>
      <c r="D56" s="9">
        <v>151</v>
      </c>
      <c r="E56" s="26">
        <v>41288</v>
      </c>
      <c r="F56" s="10">
        <v>41365</v>
      </c>
      <c r="G56" s="11">
        <f t="shared" si="2"/>
        <v>2</v>
      </c>
      <c r="H56" s="20">
        <v>0.02</v>
      </c>
      <c r="I56" s="19">
        <f t="shared" si="3"/>
        <v>4.66</v>
      </c>
      <c r="J56" s="20">
        <v>0</v>
      </c>
      <c r="K56" s="20">
        <v>4.66</v>
      </c>
      <c r="L56" s="28">
        <f t="shared" si="4"/>
        <v>4.66</v>
      </c>
      <c r="M56" s="20">
        <v>2</v>
      </c>
      <c r="N56" s="47">
        <f t="shared" ref="N56" si="34">E56</f>
        <v>41288</v>
      </c>
      <c r="O56" s="41">
        <f t="shared" ref="O56" si="35">DATEDIF(N56,F56,"m")</f>
        <v>2</v>
      </c>
      <c r="P56" s="41">
        <v>4.66</v>
      </c>
      <c r="Q56" s="53">
        <f t="shared" si="23"/>
        <v>4.66</v>
      </c>
      <c r="R56" s="20">
        <f>P56-M56</f>
        <v>2.66</v>
      </c>
      <c r="S56" s="20">
        <f t="shared" si="31"/>
        <v>-2</v>
      </c>
      <c r="T56" s="20">
        <v>13000</v>
      </c>
      <c r="U56" s="30">
        <f t="shared" si="24"/>
        <v>1991.6712328767126</v>
      </c>
      <c r="V56" s="32">
        <f t="shared" si="7"/>
        <v>1136.8767123287673</v>
      </c>
    </row>
    <row r="57" spans="1:22" x14ac:dyDescent="0.15">
      <c r="A57" s="17"/>
      <c r="E57" s="27"/>
      <c r="F57" s="23"/>
      <c r="G57" s="23"/>
      <c r="H57" s="23"/>
      <c r="I57" s="23"/>
      <c r="J57" s="23"/>
      <c r="K57" s="23"/>
      <c r="L57" s="27"/>
      <c r="M57" s="23"/>
      <c r="N57" s="48"/>
      <c r="O57" s="48"/>
      <c r="P57" s="48"/>
      <c r="Q57" s="54"/>
      <c r="R57" s="23"/>
      <c r="S57" s="20"/>
      <c r="T57" s="23"/>
      <c r="U57" s="31"/>
    </row>
    <row r="58" spans="1:22" x14ac:dyDescent="0.15">
      <c r="E58" s="27"/>
      <c r="F58" s="23"/>
      <c r="G58" s="23"/>
      <c r="H58" s="23"/>
      <c r="I58" s="23"/>
      <c r="J58" s="23"/>
      <c r="K58" s="23"/>
      <c r="L58" s="27">
        <f>SUBTOTAL(9,L5:L56)</f>
        <v>1599.9600000000007</v>
      </c>
      <c r="M58" s="23"/>
      <c r="N58" s="48"/>
      <c r="O58" s="48"/>
      <c r="P58" s="48"/>
      <c r="Q58" s="54"/>
      <c r="R58" s="27">
        <f>SUBTOTAL(9,R5:R56)</f>
        <v>949.44999999999948</v>
      </c>
      <c r="S58" s="23"/>
      <c r="T58" s="59">
        <f>SUBTOTAL(9,T5:T56)</f>
        <v>722000</v>
      </c>
      <c r="U58" s="60">
        <f>SUBTOTAL(9,U5:U56)</f>
        <v>835572.82191780838</v>
      </c>
      <c r="V58" s="58">
        <f>SUBTOTAL(9,V5:V56)</f>
        <v>470093.58904109587</v>
      </c>
    </row>
  </sheetData>
  <autoFilter ref="A4:V56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C9" sqref="C9"/>
    </sheetView>
  </sheetViews>
  <sheetFormatPr defaultRowHeight="15" x14ac:dyDescent="0.25"/>
  <cols>
    <col min="1" max="1" width="16.42578125" customWidth="1"/>
    <col min="2" max="2" width="27.140625" customWidth="1"/>
    <col min="3" max="3" width="21.28515625" customWidth="1"/>
    <col min="4" max="4" width="13" customWidth="1"/>
    <col min="5" max="5" width="10.5703125" customWidth="1"/>
    <col min="6" max="6" width="12.5703125" customWidth="1"/>
    <col min="7" max="7" width="15.85546875" customWidth="1"/>
  </cols>
  <sheetData>
    <row r="1" spans="1:8" x14ac:dyDescent="0.25">
      <c r="A1" s="83" t="s">
        <v>0</v>
      </c>
      <c r="B1" s="83" t="s">
        <v>1</v>
      </c>
      <c r="C1" s="83" t="s">
        <v>2</v>
      </c>
      <c r="D1" s="84" t="s">
        <v>3</v>
      </c>
      <c r="E1" s="82" t="s">
        <v>4</v>
      </c>
      <c r="F1" s="82" t="s">
        <v>5</v>
      </c>
      <c r="G1" s="82" t="s">
        <v>6</v>
      </c>
      <c r="H1" s="82" t="s">
        <v>7</v>
      </c>
    </row>
    <row r="2" spans="1:8" x14ac:dyDescent="0.25">
      <c r="A2" s="83"/>
      <c r="B2" s="83"/>
      <c r="C2" s="83"/>
      <c r="D2" s="84"/>
      <c r="E2" s="82"/>
      <c r="F2" s="82"/>
      <c r="G2" s="82"/>
      <c r="H2" s="82"/>
    </row>
    <row r="3" spans="1:8" x14ac:dyDescent="0.25">
      <c r="A3" s="83"/>
      <c r="B3" s="83"/>
      <c r="C3" s="83"/>
      <c r="D3" s="84"/>
      <c r="E3" s="82"/>
      <c r="F3" s="82"/>
      <c r="G3" s="82"/>
      <c r="H3" s="82"/>
    </row>
    <row r="4" spans="1:8" ht="33.75" x14ac:dyDescent="0.25">
      <c r="A4" s="1" t="s">
        <v>100</v>
      </c>
      <c r="B4" s="1" t="s">
        <v>97</v>
      </c>
      <c r="C4" s="1" t="s">
        <v>19</v>
      </c>
      <c r="D4" s="6">
        <v>9</v>
      </c>
      <c r="E4" s="4"/>
      <c r="F4" s="4"/>
      <c r="G4" s="4"/>
      <c r="H4" s="4"/>
    </row>
    <row r="5" spans="1:8" ht="22.5" x14ac:dyDescent="0.25">
      <c r="A5" s="1" t="s">
        <v>8</v>
      </c>
      <c r="B5" s="1" t="s">
        <v>88</v>
      </c>
      <c r="C5" s="1" t="s">
        <v>89</v>
      </c>
      <c r="D5" s="6">
        <v>3</v>
      </c>
      <c r="E5" s="4"/>
      <c r="F5" s="4"/>
      <c r="G5" s="4"/>
      <c r="H5" s="4"/>
    </row>
    <row r="6" spans="1:8" ht="22.5" x14ac:dyDescent="0.25">
      <c r="A6" s="1" t="s">
        <v>8</v>
      </c>
      <c r="B6" s="4" t="s">
        <v>91</v>
      </c>
      <c r="C6" s="1" t="s">
        <v>90</v>
      </c>
      <c r="D6" s="6">
        <v>5</v>
      </c>
      <c r="E6" s="4"/>
      <c r="F6" s="4"/>
      <c r="G6" s="4"/>
      <c r="H6" s="4"/>
    </row>
    <row r="7" spans="1:8" ht="22.5" x14ac:dyDescent="0.25">
      <c r="A7" s="1" t="s">
        <v>8</v>
      </c>
      <c r="B7" s="4" t="s">
        <v>93</v>
      </c>
      <c r="C7" s="1" t="s">
        <v>92</v>
      </c>
      <c r="D7" s="6">
        <v>10</v>
      </c>
      <c r="E7" s="4"/>
      <c r="F7" s="4"/>
      <c r="G7" s="4"/>
      <c r="H7" s="4"/>
    </row>
    <row r="8" spans="1:8" ht="33.75" x14ac:dyDescent="0.25">
      <c r="A8" s="1" t="s">
        <v>8</v>
      </c>
      <c r="B8" s="3" t="s">
        <v>95</v>
      </c>
      <c r="C8" s="3" t="s">
        <v>94</v>
      </c>
      <c r="D8" s="6">
        <v>1</v>
      </c>
      <c r="E8" s="4"/>
      <c r="F8" s="4"/>
      <c r="G8" s="4"/>
      <c r="H8" s="4"/>
    </row>
    <row r="9" spans="1:8" ht="33.75" x14ac:dyDescent="0.25">
      <c r="A9" s="1" t="s">
        <v>8</v>
      </c>
      <c r="B9" s="5" t="s">
        <v>96</v>
      </c>
      <c r="C9" s="5" t="s">
        <v>23</v>
      </c>
      <c r="D9" s="6">
        <v>2</v>
      </c>
      <c r="E9" s="4"/>
      <c r="F9" s="4"/>
      <c r="G9" s="4"/>
      <c r="H9" s="4"/>
    </row>
    <row r="10" spans="1:8" ht="22.5" x14ac:dyDescent="0.25">
      <c r="A10" s="1" t="s">
        <v>100</v>
      </c>
      <c r="B10" s="1" t="s">
        <v>98</v>
      </c>
      <c r="C10" s="1" t="s">
        <v>99</v>
      </c>
      <c r="D10" s="6">
        <v>9</v>
      </c>
      <c r="E10" s="4"/>
      <c r="F10" s="4"/>
      <c r="G10" s="4"/>
      <c r="H10" s="4"/>
    </row>
    <row r="11" spans="1:8" ht="22.5" x14ac:dyDescent="0.25">
      <c r="A11" s="3" t="s">
        <v>101</v>
      </c>
      <c r="B11" s="3" t="s">
        <v>102</v>
      </c>
      <c r="C11" s="2" t="s">
        <v>104</v>
      </c>
      <c r="D11" s="6">
        <v>4</v>
      </c>
      <c r="E11" s="4"/>
      <c r="F11" s="4"/>
      <c r="G11" s="4"/>
      <c r="H11" s="4"/>
    </row>
    <row r="12" spans="1:8" ht="22.5" x14ac:dyDescent="0.25">
      <c r="A12" s="3" t="s">
        <v>101</v>
      </c>
      <c r="B12" s="5" t="s">
        <v>38</v>
      </c>
      <c r="C12" s="2" t="s">
        <v>103</v>
      </c>
      <c r="D12" s="6">
        <v>9</v>
      </c>
      <c r="E12" s="4"/>
      <c r="F12" s="4"/>
      <c r="G12" s="4"/>
      <c r="H12" s="4"/>
    </row>
    <row r="13" spans="1:8" ht="33.75" x14ac:dyDescent="0.25">
      <c r="A13" s="3" t="s">
        <v>101</v>
      </c>
      <c r="B13" s="1" t="s">
        <v>105</v>
      </c>
      <c r="C13" s="1" t="s">
        <v>106</v>
      </c>
      <c r="D13" s="6">
        <v>9</v>
      </c>
      <c r="E13" s="4"/>
      <c r="F13" s="4"/>
      <c r="G13" s="4"/>
      <c r="H13" s="4"/>
    </row>
  </sheetData>
  <mergeCells count="8">
    <mergeCell ref="G1:G3"/>
    <mergeCell ref="H1:H3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zoomScale="90" zoomScaleNormal="90" workbookViewId="0">
      <pane xSplit="3" ySplit="4" topLeftCell="J47" activePane="bottomRight" state="frozen"/>
      <selection pane="topRight" activeCell="D1" sqref="D1"/>
      <selection pane="bottomLeft" activeCell="A5" sqref="A5"/>
      <selection pane="bottomRight" activeCell="K1" sqref="K1:K1048576"/>
    </sheetView>
  </sheetViews>
  <sheetFormatPr defaultRowHeight="24" customHeight="1" outlineLevelCol="1" x14ac:dyDescent="0.15"/>
  <cols>
    <col min="1" max="1" width="16" style="18" customWidth="1" outlineLevel="1"/>
    <col min="2" max="2" width="19.85546875" style="18" customWidth="1" outlineLevel="1"/>
    <col min="3" max="3" width="16.85546875" style="18" customWidth="1"/>
    <col min="4" max="4" width="11.140625" style="18" customWidth="1"/>
    <col min="5" max="5" width="10.42578125" style="24" customWidth="1"/>
    <col min="6" max="6" width="10.5703125" style="18" customWidth="1"/>
    <col min="7" max="7" width="7.5703125" style="18" customWidth="1"/>
    <col min="8" max="8" width="9.140625" style="18" customWidth="1"/>
    <col min="9" max="9" width="9.140625" style="18"/>
    <col min="10" max="10" width="13.7109375" style="18" customWidth="1"/>
    <col min="11" max="11" width="14.7109375" style="18" hidden="1" customWidth="1"/>
    <col min="12" max="12" width="8.42578125" style="24" customWidth="1"/>
    <col min="13" max="13" width="13.85546875" style="18" customWidth="1"/>
    <col min="14" max="14" width="11.42578125" style="45" customWidth="1" outlineLevel="1"/>
    <col min="15" max="15" width="11.28515625" style="45" customWidth="1" outlineLevel="1"/>
    <col min="16" max="16" width="9.85546875" style="45" customWidth="1" outlineLevel="1"/>
    <col min="17" max="17" width="10.28515625" style="51" customWidth="1"/>
    <col min="18" max="19" width="9.140625" style="18"/>
    <col min="20" max="20" width="14.5703125" style="18" customWidth="1" outlineLevel="1"/>
    <col min="21" max="21" width="13" style="29" customWidth="1" outlineLevel="1"/>
    <col min="22" max="22" width="16.42578125" style="18" customWidth="1" outlineLevel="1"/>
    <col min="23" max="16384" width="9.140625" style="18"/>
  </cols>
  <sheetData>
    <row r="1" spans="1:22" s="55" customFormat="1" ht="24" customHeight="1" x14ac:dyDescent="0.25"/>
    <row r="2" spans="1:22" s="55" customFormat="1" ht="24" customHeight="1" x14ac:dyDescent="0.25">
      <c r="G2" s="56"/>
    </row>
    <row r="3" spans="1:22" s="55" customFormat="1" ht="24" customHeight="1" x14ac:dyDescent="0.25"/>
    <row r="4" spans="1:22" s="44" customFormat="1" ht="24" customHeight="1" x14ac:dyDescent="0.15">
      <c r="A4" s="57" t="s">
        <v>0</v>
      </c>
      <c r="B4" s="57" t="s">
        <v>1</v>
      </c>
      <c r="C4" s="57" t="s">
        <v>2</v>
      </c>
      <c r="D4" s="35" t="s">
        <v>3</v>
      </c>
      <c r="E4" s="39" t="s">
        <v>107</v>
      </c>
      <c r="F4" s="57" t="s">
        <v>115</v>
      </c>
      <c r="G4" s="57" t="s">
        <v>117</v>
      </c>
      <c r="H4" s="36" t="s">
        <v>4</v>
      </c>
      <c r="I4" s="33" t="s">
        <v>118</v>
      </c>
      <c r="J4" s="34" t="s">
        <v>119</v>
      </c>
      <c r="K4" s="36" t="s">
        <v>108</v>
      </c>
      <c r="L4" s="40" t="s">
        <v>109</v>
      </c>
      <c r="M4" s="34" t="s">
        <v>120</v>
      </c>
      <c r="N4" s="46" t="s">
        <v>125</v>
      </c>
      <c r="O4" s="46" t="s">
        <v>124</v>
      </c>
      <c r="P4" s="50" t="s">
        <v>114</v>
      </c>
      <c r="Q4" s="52" t="s">
        <v>126</v>
      </c>
      <c r="R4" s="34" t="s">
        <v>110</v>
      </c>
      <c r="S4" s="34" t="s">
        <v>113</v>
      </c>
      <c r="T4" s="38" t="s">
        <v>111</v>
      </c>
      <c r="U4" s="37" t="s">
        <v>112</v>
      </c>
      <c r="V4" s="43" t="s">
        <v>123</v>
      </c>
    </row>
    <row r="5" spans="1:22" ht="24" customHeight="1" x14ac:dyDescent="0.15">
      <c r="A5" s="7" t="s">
        <v>31</v>
      </c>
      <c r="B5" s="7" t="s">
        <v>13</v>
      </c>
      <c r="C5" s="7" t="s">
        <v>9</v>
      </c>
      <c r="D5" s="9">
        <v>23</v>
      </c>
      <c r="E5" s="25">
        <v>38443</v>
      </c>
      <c r="F5" s="10">
        <v>41395</v>
      </c>
      <c r="G5" s="11">
        <f>DATEDIF(E5,F5,"m")</f>
        <v>97</v>
      </c>
      <c r="H5" s="19">
        <v>8</v>
      </c>
      <c r="I5" s="19">
        <f>G5*2.33</f>
        <v>226.01000000000002</v>
      </c>
      <c r="J5" s="20">
        <v>199</v>
      </c>
      <c r="K5" s="20">
        <v>224</v>
      </c>
      <c r="L5" s="28">
        <f>I5-J5</f>
        <v>27.010000000000019</v>
      </c>
      <c r="M5" s="21">
        <v>167</v>
      </c>
      <c r="N5" s="49">
        <v>39448</v>
      </c>
      <c r="O5" s="41">
        <f>DATEDIF(N5,F5,"m")</f>
        <v>64</v>
      </c>
      <c r="P5" s="41">
        <f>O5*2.33</f>
        <v>149.12</v>
      </c>
      <c r="Q5" s="53">
        <f t="shared" ref="Q5:Q56" si="0">O5*2.33</f>
        <v>149.12</v>
      </c>
      <c r="R5" s="20">
        <f>Q5-M5</f>
        <v>-17.879999999999995</v>
      </c>
      <c r="S5" s="42"/>
      <c r="T5" s="20">
        <v>18000</v>
      </c>
      <c r="U5" s="30">
        <f t="shared" ref="U5:U56" si="1">((T5*12)/365)*L5</f>
        <v>15984.000000000011</v>
      </c>
      <c r="V5" s="32">
        <f>((T5*12)/365)*R5</f>
        <v>-10581.041095890409</v>
      </c>
    </row>
    <row r="6" spans="1:22" ht="24" customHeight="1" x14ac:dyDescent="0.15">
      <c r="A6" s="7" t="s">
        <v>31</v>
      </c>
      <c r="B6" s="7" t="s">
        <v>46</v>
      </c>
      <c r="C6" s="7" t="s">
        <v>45</v>
      </c>
      <c r="D6" s="9">
        <v>106</v>
      </c>
      <c r="E6" s="25">
        <v>40513</v>
      </c>
      <c r="F6" s="10">
        <v>41395</v>
      </c>
      <c r="G6" s="11">
        <f t="shared" ref="G6:G56" si="2">DATEDIF(E6,F6,"m")</f>
        <v>29</v>
      </c>
      <c r="H6" s="19">
        <v>2.04</v>
      </c>
      <c r="I6" s="19">
        <f t="shared" ref="I6:I56" si="3">G6*2.33</f>
        <v>67.570000000000007</v>
      </c>
      <c r="J6" s="20">
        <v>56</v>
      </c>
      <c r="K6" s="20">
        <v>65.319999999999993</v>
      </c>
      <c r="L6" s="28">
        <f t="shared" ref="L6:L56" si="4">I6-J6</f>
        <v>11.570000000000007</v>
      </c>
      <c r="M6" s="20">
        <v>56</v>
      </c>
      <c r="N6" s="47">
        <f>E6</f>
        <v>40513</v>
      </c>
      <c r="O6" s="41">
        <f t="shared" ref="O6:O10" si="5">DATEDIF(N6,F6,"m")</f>
        <v>29</v>
      </c>
      <c r="P6" s="41">
        <f>O6*2.33</f>
        <v>67.570000000000007</v>
      </c>
      <c r="Q6" s="53">
        <f t="shared" si="0"/>
        <v>67.570000000000007</v>
      </c>
      <c r="R6" s="20">
        <f t="shared" ref="R6:R56" si="6">Q6-M6</f>
        <v>11.570000000000007</v>
      </c>
      <c r="S6" s="20">
        <f t="shared" ref="S6:S22" si="7">J6-M6</f>
        <v>0</v>
      </c>
      <c r="T6" s="20">
        <v>12000</v>
      </c>
      <c r="U6" s="30">
        <f t="shared" si="1"/>
        <v>4564.6027397260304</v>
      </c>
      <c r="V6" s="32">
        <f t="shared" ref="V6:V56" si="8">((T6*12)/365)*R6</f>
        <v>4564.6027397260304</v>
      </c>
    </row>
    <row r="7" spans="1:22" ht="24" customHeight="1" x14ac:dyDescent="0.15">
      <c r="A7" s="7" t="s">
        <v>31</v>
      </c>
      <c r="B7" s="7" t="s">
        <v>11</v>
      </c>
      <c r="C7" s="7" t="s">
        <v>16</v>
      </c>
      <c r="D7" s="9">
        <v>126</v>
      </c>
      <c r="E7" s="25">
        <v>40848</v>
      </c>
      <c r="F7" s="10">
        <v>41395</v>
      </c>
      <c r="G7" s="11">
        <f t="shared" si="2"/>
        <v>18</v>
      </c>
      <c r="H7" s="19">
        <v>1.05</v>
      </c>
      <c r="I7" s="19">
        <f t="shared" si="3"/>
        <v>41.94</v>
      </c>
      <c r="J7" s="20">
        <v>14</v>
      </c>
      <c r="K7" s="20">
        <v>39.65</v>
      </c>
      <c r="L7" s="28">
        <f t="shared" si="4"/>
        <v>27.939999999999998</v>
      </c>
      <c r="M7" s="21">
        <v>0</v>
      </c>
      <c r="N7" s="47">
        <f t="shared" ref="N7:N12" si="9">E7</f>
        <v>40848</v>
      </c>
      <c r="O7" s="41">
        <f t="shared" si="5"/>
        <v>18</v>
      </c>
      <c r="P7" s="41">
        <f t="shared" ref="P7:P56" si="10">O7*2.33</f>
        <v>41.94</v>
      </c>
      <c r="Q7" s="53">
        <f t="shared" si="0"/>
        <v>41.94</v>
      </c>
      <c r="R7" s="20">
        <f t="shared" si="6"/>
        <v>41.94</v>
      </c>
      <c r="S7" s="20">
        <f t="shared" si="7"/>
        <v>14</v>
      </c>
      <c r="T7" s="20">
        <v>13000</v>
      </c>
      <c r="U7" s="30">
        <f t="shared" si="1"/>
        <v>11941.479452054795</v>
      </c>
      <c r="V7" s="32">
        <f t="shared" si="8"/>
        <v>17925.04109589041</v>
      </c>
    </row>
    <row r="8" spans="1:22" ht="24" customHeight="1" x14ac:dyDescent="0.15">
      <c r="A8" s="7" t="s">
        <v>31</v>
      </c>
      <c r="B8" s="7" t="s">
        <v>11</v>
      </c>
      <c r="C8" s="7" t="s">
        <v>12</v>
      </c>
      <c r="D8" s="9">
        <v>123</v>
      </c>
      <c r="E8" s="25">
        <v>40826</v>
      </c>
      <c r="F8" s="10">
        <v>41395</v>
      </c>
      <c r="G8" s="11">
        <f t="shared" si="2"/>
        <v>18</v>
      </c>
      <c r="H8" s="19">
        <v>1.05</v>
      </c>
      <c r="I8" s="19">
        <f t="shared" si="3"/>
        <v>41.94</v>
      </c>
      <c r="J8" s="20">
        <v>30</v>
      </c>
      <c r="K8" s="20">
        <v>39.65</v>
      </c>
      <c r="L8" s="28">
        <f t="shared" si="4"/>
        <v>11.939999999999998</v>
      </c>
      <c r="M8" s="21">
        <v>30</v>
      </c>
      <c r="N8" s="47">
        <f t="shared" si="9"/>
        <v>40826</v>
      </c>
      <c r="O8" s="41">
        <f t="shared" si="5"/>
        <v>18</v>
      </c>
      <c r="P8" s="41">
        <f t="shared" si="10"/>
        <v>41.94</v>
      </c>
      <c r="Q8" s="53">
        <f t="shared" si="0"/>
        <v>41.94</v>
      </c>
      <c r="R8" s="20">
        <f t="shared" si="6"/>
        <v>11.939999999999998</v>
      </c>
      <c r="S8" s="20">
        <f t="shared" si="7"/>
        <v>0</v>
      </c>
      <c r="T8" s="20">
        <v>13000</v>
      </c>
      <c r="U8" s="30">
        <f t="shared" si="1"/>
        <v>5103.123287671232</v>
      </c>
      <c r="V8" s="32">
        <f t="shared" si="8"/>
        <v>5103.123287671232</v>
      </c>
    </row>
    <row r="9" spans="1:22" ht="24" customHeight="1" x14ac:dyDescent="0.15">
      <c r="A9" s="7" t="s">
        <v>31</v>
      </c>
      <c r="B9" s="7" t="s">
        <v>11</v>
      </c>
      <c r="C9" s="7" t="s">
        <v>26</v>
      </c>
      <c r="D9" s="9">
        <v>134</v>
      </c>
      <c r="E9" s="25">
        <v>41031</v>
      </c>
      <c r="F9" s="10">
        <v>41395</v>
      </c>
      <c r="G9" s="11">
        <f t="shared" si="2"/>
        <v>11</v>
      </c>
      <c r="H9" s="19">
        <v>0.11</v>
      </c>
      <c r="I9" s="19">
        <f t="shared" si="3"/>
        <v>25.630000000000003</v>
      </c>
      <c r="J9" s="20">
        <v>8</v>
      </c>
      <c r="K9" s="20">
        <v>25.63</v>
      </c>
      <c r="L9" s="28">
        <f t="shared" si="4"/>
        <v>17.630000000000003</v>
      </c>
      <c r="M9" s="21">
        <v>11</v>
      </c>
      <c r="N9" s="47">
        <f t="shared" si="9"/>
        <v>41031</v>
      </c>
      <c r="O9" s="41">
        <f t="shared" si="5"/>
        <v>11</v>
      </c>
      <c r="P9" s="41">
        <f t="shared" si="10"/>
        <v>25.630000000000003</v>
      </c>
      <c r="Q9" s="53">
        <f t="shared" si="0"/>
        <v>25.630000000000003</v>
      </c>
      <c r="R9" s="20">
        <f t="shared" si="6"/>
        <v>14.630000000000003</v>
      </c>
      <c r="S9" s="20">
        <f t="shared" si="7"/>
        <v>-3</v>
      </c>
      <c r="T9" s="20">
        <v>13000</v>
      </c>
      <c r="U9" s="30">
        <f t="shared" si="1"/>
        <v>7535.0136986301386</v>
      </c>
      <c r="V9" s="32">
        <f t="shared" si="8"/>
        <v>6252.8219178082209</v>
      </c>
    </row>
    <row r="10" spans="1:22" ht="24" customHeight="1" x14ac:dyDescent="0.15">
      <c r="A10" s="7" t="s">
        <v>31</v>
      </c>
      <c r="B10" s="7" t="s">
        <v>11</v>
      </c>
      <c r="C10" s="7" t="s">
        <v>47</v>
      </c>
      <c r="D10" s="9">
        <v>130</v>
      </c>
      <c r="E10" s="25">
        <v>40969</v>
      </c>
      <c r="F10" s="10">
        <v>41395</v>
      </c>
      <c r="G10" s="11">
        <f t="shared" si="2"/>
        <v>14</v>
      </c>
      <c r="H10" s="19">
        <v>1</v>
      </c>
      <c r="I10" s="19">
        <f t="shared" si="3"/>
        <v>32.620000000000005</v>
      </c>
      <c r="J10" s="20">
        <v>28</v>
      </c>
      <c r="K10" s="20">
        <v>28</v>
      </c>
      <c r="L10" s="28">
        <f t="shared" si="4"/>
        <v>4.6200000000000045</v>
      </c>
      <c r="M10" s="20">
        <v>0</v>
      </c>
      <c r="N10" s="47">
        <f t="shared" si="9"/>
        <v>40969</v>
      </c>
      <c r="O10" s="41">
        <f t="shared" si="5"/>
        <v>14</v>
      </c>
      <c r="P10" s="41">
        <f t="shared" si="10"/>
        <v>32.620000000000005</v>
      </c>
      <c r="Q10" s="53">
        <f t="shared" si="0"/>
        <v>32.620000000000005</v>
      </c>
      <c r="R10" s="20">
        <f t="shared" si="6"/>
        <v>32.620000000000005</v>
      </c>
      <c r="S10" s="20">
        <f t="shared" si="7"/>
        <v>28</v>
      </c>
      <c r="T10" s="20">
        <v>13000</v>
      </c>
      <c r="U10" s="30">
        <f t="shared" si="1"/>
        <v>1974.5753424657555</v>
      </c>
      <c r="V10" s="32">
        <f t="shared" si="8"/>
        <v>13941.698630136989</v>
      </c>
    </row>
    <row r="11" spans="1:22" ht="24" customHeight="1" x14ac:dyDescent="0.15">
      <c r="A11" s="7" t="s">
        <v>8</v>
      </c>
      <c r="B11" s="7" t="s">
        <v>14</v>
      </c>
      <c r="C11" s="7" t="s">
        <v>15</v>
      </c>
      <c r="D11" s="9">
        <v>8</v>
      </c>
      <c r="E11" s="25">
        <v>37259</v>
      </c>
      <c r="F11" s="10">
        <v>41395</v>
      </c>
      <c r="G11" s="11">
        <f t="shared" si="2"/>
        <v>135</v>
      </c>
      <c r="H11" s="19">
        <v>11.02</v>
      </c>
      <c r="I11" s="19">
        <f t="shared" si="3"/>
        <v>314.55</v>
      </c>
      <c r="J11" s="20">
        <v>197</v>
      </c>
      <c r="K11" s="20">
        <v>312.66000000000003</v>
      </c>
      <c r="L11" s="28">
        <f t="shared" si="4"/>
        <v>117.55000000000001</v>
      </c>
      <c r="M11" s="21">
        <v>88</v>
      </c>
      <c r="N11" s="49">
        <v>39448</v>
      </c>
      <c r="O11" s="41">
        <f>DATEDIF(N11,F11,"m")</f>
        <v>64</v>
      </c>
      <c r="P11" s="41">
        <f t="shared" si="10"/>
        <v>149.12</v>
      </c>
      <c r="Q11" s="53">
        <f t="shared" si="0"/>
        <v>149.12</v>
      </c>
      <c r="R11" s="20">
        <f t="shared" si="6"/>
        <v>61.120000000000005</v>
      </c>
      <c r="S11" s="20">
        <f t="shared" si="7"/>
        <v>109</v>
      </c>
      <c r="T11" s="20">
        <v>28000</v>
      </c>
      <c r="U11" s="30">
        <f t="shared" si="1"/>
        <v>108210.41095890412</v>
      </c>
      <c r="V11" s="32">
        <f t="shared" si="8"/>
        <v>56263.890410958906</v>
      </c>
    </row>
    <row r="12" spans="1:22" ht="24" customHeight="1" x14ac:dyDescent="0.15">
      <c r="A12" s="7" t="s">
        <v>8</v>
      </c>
      <c r="B12" s="7" t="s">
        <v>10</v>
      </c>
      <c r="C12" s="8" t="s">
        <v>128</v>
      </c>
      <c r="D12" s="9">
        <v>140</v>
      </c>
      <c r="E12" s="25">
        <v>41143</v>
      </c>
      <c r="F12" s="10">
        <v>41395</v>
      </c>
      <c r="G12" s="11">
        <f t="shared" si="2"/>
        <v>8</v>
      </c>
      <c r="H12" s="19">
        <v>7.0000000000000007E-2</v>
      </c>
      <c r="I12" s="19">
        <f t="shared" si="3"/>
        <v>18.64</v>
      </c>
      <c r="J12" s="20">
        <v>7</v>
      </c>
      <c r="K12" s="20">
        <v>16.309999999999999</v>
      </c>
      <c r="L12" s="28">
        <f t="shared" si="4"/>
        <v>11.64</v>
      </c>
      <c r="M12" s="21">
        <v>7</v>
      </c>
      <c r="N12" s="47">
        <f t="shared" si="9"/>
        <v>41143</v>
      </c>
      <c r="O12" s="41">
        <f t="shared" ref="O12" si="11">DATEDIF(N12,F12,"m")</f>
        <v>8</v>
      </c>
      <c r="P12" s="41">
        <f t="shared" si="10"/>
        <v>18.64</v>
      </c>
      <c r="Q12" s="53">
        <f t="shared" si="0"/>
        <v>18.64</v>
      </c>
      <c r="R12" s="20">
        <f t="shared" si="6"/>
        <v>11.64</v>
      </c>
      <c r="S12" s="20">
        <f t="shared" si="7"/>
        <v>0</v>
      </c>
      <c r="T12" s="20">
        <v>12000</v>
      </c>
      <c r="U12" s="30">
        <f t="shared" si="1"/>
        <v>4592.2191780821922</v>
      </c>
      <c r="V12" s="32">
        <f t="shared" si="8"/>
        <v>4592.2191780821922</v>
      </c>
    </row>
    <row r="13" spans="1:22" ht="24" customHeight="1" x14ac:dyDescent="0.15">
      <c r="A13" s="7" t="s">
        <v>32</v>
      </c>
      <c r="B13" s="7" t="s">
        <v>33</v>
      </c>
      <c r="C13" s="7" t="s">
        <v>17</v>
      </c>
      <c r="D13" s="9">
        <v>13</v>
      </c>
      <c r="E13" s="25">
        <v>37773</v>
      </c>
      <c r="F13" s="10">
        <v>41395</v>
      </c>
      <c r="G13" s="11">
        <f t="shared" si="2"/>
        <v>119</v>
      </c>
      <c r="H13" s="19">
        <v>9.1</v>
      </c>
      <c r="I13" s="19">
        <f t="shared" si="3"/>
        <v>277.27</v>
      </c>
      <c r="J13" s="20">
        <v>128</v>
      </c>
      <c r="K13" s="20">
        <v>275.3</v>
      </c>
      <c r="L13" s="28">
        <f t="shared" si="4"/>
        <v>149.26999999999998</v>
      </c>
      <c r="M13" s="21">
        <v>74</v>
      </c>
      <c r="N13" s="49">
        <v>39448</v>
      </c>
      <c r="O13" s="41">
        <f>DATEDIF(N13,F13,"m")</f>
        <v>64</v>
      </c>
      <c r="P13" s="41">
        <f t="shared" si="10"/>
        <v>149.12</v>
      </c>
      <c r="Q13" s="53">
        <f t="shared" si="0"/>
        <v>149.12</v>
      </c>
      <c r="R13" s="20">
        <f t="shared" si="6"/>
        <v>75.12</v>
      </c>
      <c r="S13" s="20">
        <f t="shared" si="7"/>
        <v>54</v>
      </c>
      <c r="T13" s="20">
        <v>18000</v>
      </c>
      <c r="U13" s="30">
        <f t="shared" si="1"/>
        <v>88335.123287671217</v>
      </c>
      <c r="V13" s="32">
        <f t="shared" si="8"/>
        <v>44454.57534246576</v>
      </c>
    </row>
    <row r="14" spans="1:22" ht="33.75" customHeight="1" x14ac:dyDescent="0.15">
      <c r="A14" s="7" t="s">
        <v>32</v>
      </c>
      <c r="B14" s="7" t="s">
        <v>18</v>
      </c>
      <c r="C14" s="7" t="s">
        <v>53</v>
      </c>
      <c r="D14" s="9">
        <v>57</v>
      </c>
      <c r="E14" s="25">
        <v>39456</v>
      </c>
      <c r="F14" s="10">
        <v>41395</v>
      </c>
      <c r="G14" s="11">
        <f t="shared" si="2"/>
        <v>63</v>
      </c>
      <c r="H14" s="20">
        <v>5.0199999999999996</v>
      </c>
      <c r="I14" s="19">
        <f t="shared" si="3"/>
        <v>146.79</v>
      </c>
      <c r="J14" s="20">
        <v>85</v>
      </c>
      <c r="K14" s="20">
        <v>144.66</v>
      </c>
      <c r="L14" s="28">
        <f t="shared" si="4"/>
        <v>61.789999999999992</v>
      </c>
      <c r="M14" s="21">
        <v>28</v>
      </c>
      <c r="N14" s="49">
        <v>39448</v>
      </c>
      <c r="O14" s="41">
        <f>DATEDIF(E14,F14,"m")</f>
        <v>63</v>
      </c>
      <c r="P14" s="41">
        <f t="shared" si="10"/>
        <v>146.79</v>
      </c>
      <c r="Q14" s="53">
        <f t="shared" si="0"/>
        <v>146.79</v>
      </c>
      <c r="R14" s="20">
        <f t="shared" si="6"/>
        <v>118.78999999999999</v>
      </c>
      <c r="S14" s="20">
        <f t="shared" si="7"/>
        <v>57</v>
      </c>
      <c r="T14" s="20">
        <v>12000</v>
      </c>
      <c r="U14" s="30">
        <f t="shared" si="1"/>
        <v>24377.424657534244</v>
      </c>
      <c r="V14" s="32">
        <f t="shared" si="8"/>
        <v>46865.095890410958</v>
      </c>
    </row>
    <row r="15" spans="1:22" ht="34.5" customHeight="1" x14ac:dyDescent="0.15">
      <c r="A15" s="7" t="s">
        <v>32</v>
      </c>
      <c r="B15" s="7" t="s">
        <v>18</v>
      </c>
      <c r="C15" s="7" t="s">
        <v>54</v>
      </c>
      <c r="D15" s="9">
        <v>111</v>
      </c>
      <c r="E15" s="25">
        <v>40603</v>
      </c>
      <c r="F15" s="10">
        <v>41395</v>
      </c>
      <c r="G15" s="11">
        <f t="shared" si="2"/>
        <v>26</v>
      </c>
      <c r="H15" s="20">
        <v>2.0099999999999998</v>
      </c>
      <c r="I15" s="19">
        <f t="shared" si="3"/>
        <v>60.58</v>
      </c>
      <c r="J15" s="20">
        <v>56</v>
      </c>
      <c r="K15" s="20">
        <v>58.33</v>
      </c>
      <c r="L15" s="28">
        <f t="shared" si="4"/>
        <v>4.5799999999999983</v>
      </c>
      <c r="M15" s="21">
        <v>56</v>
      </c>
      <c r="N15" s="47">
        <f t="shared" ref="N15" si="12">E15</f>
        <v>40603</v>
      </c>
      <c r="O15" s="41">
        <f t="shared" ref="O15" si="13">DATEDIF(N15,F15,"m")</f>
        <v>26</v>
      </c>
      <c r="P15" s="41">
        <f t="shared" si="10"/>
        <v>60.58</v>
      </c>
      <c r="Q15" s="53">
        <f t="shared" si="0"/>
        <v>60.58</v>
      </c>
      <c r="R15" s="20">
        <f t="shared" si="6"/>
        <v>4.5799999999999983</v>
      </c>
      <c r="S15" s="20">
        <f t="shared" si="7"/>
        <v>0</v>
      </c>
      <c r="T15" s="20">
        <v>12000</v>
      </c>
      <c r="U15" s="30">
        <f t="shared" si="1"/>
        <v>1806.9041095890404</v>
      </c>
      <c r="V15" s="32">
        <f t="shared" si="8"/>
        <v>1806.9041095890404</v>
      </c>
    </row>
    <row r="16" spans="1:22" ht="24" customHeight="1" x14ac:dyDescent="0.15">
      <c r="A16" s="7" t="s">
        <v>32</v>
      </c>
      <c r="B16" s="7" t="s">
        <v>18</v>
      </c>
      <c r="C16" s="7" t="s">
        <v>55</v>
      </c>
      <c r="D16" s="9">
        <v>50</v>
      </c>
      <c r="E16" s="25">
        <v>39387</v>
      </c>
      <c r="F16" s="10">
        <v>41395</v>
      </c>
      <c r="G16" s="11">
        <f t="shared" si="2"/>
        <v>66</v>
      </c>
      <c r="H16" s="20">
        <v>5.05</v>
      </c>
      <c r="I16" s="19">
        <f t="shared" si="3"/>
        <v>153.78</v>
      </c>
      <c r="J16" s="20">
        <v>112</v>
      </c>
      <c r="K16" s="20">
        <v>151.65</v>
      </c>
      <c r="L16" s="28">
        <f t="shared" si="4"/>
        <v>41.78</v>
      </c>
      <c r="M16" s="21">
        <v>42</v>
      </c>
      <c r="N16" s="49">
        <v>39448</v>
      </c>
      <c r="O16" s="41">
        <f>DATEDIF(N16,F16,"m")</f>
        <v>64</v>
      </c>
      <c r="P16" s="41">
        <f t="shared" si="10"/>
        <v>149.12</v>
      </c>
      <c r="Q16" s="53">
        <f t="shared" si="0"/>
        <v>149.12</v>
      </c>
      <c r="R16" s="20">
        <f t="shared" si="6"/>
        <v>107.12</v>
      </c>
      <c r="S16" s="20">
        <f t="shared" si="7"/>
        <v>70</v>
      </c>
      <c r="T16" s="20">
        <v>12000</v>
      </c>
      <c r="U16" s="30">
        <f t="shared" si="1"/>
        <v>16483.068493150684</v>
      </c>
      <c r="V16" s="32">
        <f t="shared" si="8"/>
        <v>42261.04109589041</v>
      </c>
    </row>
    <row r="17" spans="1:22" ht="24" customHeight="1" x14ac:dyDescent="0.15">
      <c r="A17" s="7" t="s">
        <v>32</v>
      </c>
      <c r="B17" s="7" t="s">
        <v>18</v>
      </c>
      <c r="C17" s="7" t="s">
        <v>56</v>
      </c>
      <c r="D17" s="9">
        <v>90</v>
      </c>
      <c r="E17" s="25">
        <v>40238</v>
      </c>
      <c r="F17" s="10">
        <v>41395</v>
      </c>
      <c r="G17" s="11">
        <f t="shared" si="2"/>
        <v>38</v>
      </c>
      <c r="H17" s="20">
        <v>3.01</v>
      </c>
      <c r="I17" s="19">
        <f t="shared" si="3"/>
        <v>88.54</v>
      </c>
      <c r="J17" s="20">
        <v>28</v>
      </c>
      <c r="K17" s="20">
        <v>86.33</v>
      </c>
      <c r="L17" s="28">
        <f t="shared" si="4"/>
        <v>60.540000000000006</v>
      </c>
      <c r="M17" s="21">
        <v>21</v>
      </c>
      <c r="N17" s="47">
        <f t="shared" ref="N17:N18" si="14">E17</f>
        <v>40238</v>
      </c>
      <c r="O17" s="41">
        <f t="shared" ref="O17:O18" si="15">DATEDIF(N17,F17,"m")</f>
        <v>38</v>
      </c>
      <c r="P17" s="41">
        <f t="shared" si="10"/>
        <v>88.54</v>
      </c>
      <c r="Q17" s="53">
        <f t="shared" si="0"/>
        <v>88.54</v>
      </c>
      <c r="R17" s="20">
        <f t="shared" si="6"/>
        <v>67.540000000000006</v>
      </c>
      <c r="S17" s="20">
        <f t="shared" si="7"/>
        <v>7</v>
      </c>
      <c r="T17" s="20">
        <v>12000</v>
      </c>
      <c r="U17" s="30">
        <f t="shared" si="1"/>
        <v>23884.273972602743</v>
      </c>
      <c r="V17" s="32">
        <f t="shared" si="8"/>
        <v>26645.917808219179</v>
      </c>
    </row>
    <row r="18" spans="1:22" ht="24" customHeight="1" x14ac:dyDescent="0.15">
      <c r="A18" s="7" t="s">
        <v>32</v>
      </c>
      <c r="B18" s="7" t="s">
        <v>18</v>
      </c>
      <c r="C18" s="12" t="s">
        <v>52</v>
      </c>
      <c r="D18" s="9">
        <v>141</v>
      </c>
      <c r="E18" s="25">
        <v>41155</v>
      </c>
      <c r="F18" s="10">
        <v>41395</v>
      </c>
      <c r="G18" s="11">
        <f t="shared" si="2"/>
        <v>7</v>
      </c>
      <c r="H18" s="20">
        <v>0.06</v>
      </c>
      <c r="I18" s="19">
        <f t="shared" si="3"/>
        <v>16.310000000000002</v>
      </c>
      <c r="J18" s="20">
        <v>14</v>
      </c>
      <c r="K18" s="20">
        <v>13.98</v>
      </c>
      <c r="L18" s="28">
        <f t="shared" si="4"/>
        <v>2.3100000000000023</v>
      </c>
      <c r="M18" s="21">
        <v>14</v>
      </c>
      <c r="N18" s="47">
        <f t="shared" si="14"/>
        <v>41155</v>
      </c>
      <c r="O18" s="41">
        <f t="shared" si="15"/>
        <v>7</v>
      </c>
      <c r="P18" s="41">
        <f t="shared" si="10"/>
        <v>16.310000000000002</v>
      </c>
      <c r="Q18" s="53">
        <f t="shared" si="0"/>
        <v>16.310000000000002</v>
      </c>
      <c r="R18" s="20">
        <f t="shared" si="6"/>
        <v>2.3100000000000023</v>
      </c>
      <c r="S18" s="20">
        <f t="shared" si="7"/>
        <v>0</v>
      </c>
      <c r="T18" s="20">
        <v>12000</v>
      </c>
      <c r="U18" s="30">
        <f t="shared" si="1"/>
        <v>911.34246575342547</v>
      </c>
      <c r="V18" s="32">
        <f t="shared" si="8"/>
        <v>911.34246575342547</v>
      </c>
    </row>
    <row r="19" spans="1:22" ht="32.25" customHeight="1" x14ac:dyDescent="0.15">
      <c r="A19" s="7" t="s">
        <v>34</v>
      </c>
      <c r="B19" s="7" t="s">
        <v>21</v>
      </c>
      <c r="C19" s="7" t="s">
        <v>20</v>
      </c>
      <c r="D19" s="9">
        <v>39</v>
      </c>
      <c r="E19" s="25">
        <v>39052</v>
      </c>
      <c r="F19" s="10">
        <v>41395</v>
      </c>
      <c r="G19" s="11">
        <f t="shared" si="2"/>
        <v>77</v>
      </c>
      <c r="H19" s="20">
        <v>6.04</v>
      </c>
      <c r="I19" s="19">
        <f t="shared" si="3"/>
        <v>179.41</v>
      </c>
      <c r="J19" s="20">
        <v>164</v>
      </c>
      <c r="K19" s="20">
        <v>177.32</v>
      </c>
      <c r="L19" s="28">
        <f t="shared" si="4"/>
        <v>15.409999999999997</v>
      </c>
      <c r="M19" s="21">
        <v>118</v>
      </c>
      <c r="N19" s="49">
        <v>39448</v>
      </c>
      <c r="O19" s="41">
        <f>DATEDIF(N19,F19,"m")</f>
        <v>64</v>
      </c>
      <c r="P19" s="41">
        <f t="shared" si="10"/>
        <v>149.12</v>
      </c>
      <c r="Q19" s="53">
        <f t="shared" si="0"/>
        <v>149.12</v>
      </c>
      <c r="R19" s="20">
        <f t="shared" si="6"/>
        <v>31.120000000000005</v>
      </c>
      <c r="S19" s="20">
        <f t="shared" si="7"/>
        <v>46</v>
      </c>
      <c r="T19" s="20">
        <v>13000</v>
      </c>
      <c r="U19" s="30">
        <f t="shared" si="1"/>
        <v>6586.1917808219168</v>
      </c>
      <c r="V19" s="32">
        <f t="shared" si="8"/>
        <v>13300.60273972603</v>
      </c>
    </row>
    <row r="20" spans="1:22" ht="24" customHeight="1" x14ac:dyDescent="0.15">
      <c r="A20" s="7" t="s">
        <v>30</v>
      </c>
      <c r="B20" s="7" t="s">
        <v>22</v>
      </c>
      <c r="C20" s="7" t="s">
        <v>23</v>
      </c>
      <c r="D20" s="9">
        <v>19</v>
      </c>
      <c r="E20" s="25">
        <v>38166</v>
      </c>
      <c r="F20" s="10">
        <v>41395</v>
      </c>
      <c r="G20" s="11">
        <f t="shared" si="2"/>
        <v>106</v>
      </c>
      <c r="H20" s="20">
        <v>8.09</v>
      </c>
      <c r="I20" s="19">
        <f t="shared" si="3"/>
        <v>246.98000000000002</v>
      </c>
      <c r="J20" s="20">
        <v>103</v>
      </c>
      <c r="K20" s="20">
        <v>244.97</v>
      </c>
      <c r="L20" s="28">
        <f t="shared" si="4"/>
        <v>143.98000000000002</v>
      </c>
      <c r="M20" s="21">
        <v>67</v>
      </c>
      <c r="N20" s="49">
        <v>39448</v>
      </c>
      <c r="O20" s="41">
        <f>DATEDIF(N20,F20,"m")</f>
        <v>64</v>
      </c>
      <c r="P20" s="41">
        <f t="shared" si="10"/>
        <v>149.12</v>
      </c>
      <c r="Q20" s="53">
        <f t="shared" si="0"/>
        <v>149.12</v>
      </c>
      <c r="R20" s="20">
        <f t="shared" si="6"/>
        <v>82.12</v>
      </c>
      <c r="S20" s="42"/>
      <c r="T20" s="20">
        <v>24000</v>
      </c>
      <c r="U20" s="30">
        <f t="shared" si="1"/>
        <v>113606.13698630138</v>
      </c>
      <c r="V20" s="32">
        <f t="shared" si="8"/>
        <v>64796.054794520547</v>
      </c>
    </row>
    <row r="21" spans="1:22" ht="33" customHeight="1" x14ac:dyDescent="0.15">
      <c r="A21" s="7" t="s">
        <v>30</v>
      </c>
      <c r="B21" s="7" t="s">
        <v>24</v>
      </c>
      <c r="C21" s="7" t="s">
        <v>25</v>
      </c>
      <c r="D21" s="9">
        <v>113</v>
      </c>
      <c r="E21" s="25">
        <v>40623</v>
      </c>
      <c r="F21" s="10">
        <v>41395</v>
      </c>
      <c r="G21" s="11">
        <f t="shared" si="2"/>
        <v>25</v>
      </c>
      <c r="H21" s="19">
        <v>2</v>
      </c>
      <c r="I21" s="19">
        <f t="shared" si="3"/>
        <v>58.25</v>
      </c>
      <c r="J21" s="20">
        <v>49</v>
      </c>
      <c r="K21" s="20">
        <v>56</v>
      </c>
      <c r="L21" s="28">
        <f t="shared" si="4"/>
        <v>9.25</v>
      </c>
      <c r="M21" s="21">
        <v>44</v>
      </c>
      <c r="N21" s="47">
        <f t="shared" ref="N21:N22" si="16">E21</f>
        <v>40623</v>
      </c>
      <c r="O21" s="41">
        <f t="shared" ref="O21:O22" si="17">DATEDIF(N21,F21,"m")</f>
        <v>25</v>
      </c>
      <c r="P21" s="41">
        <f t="shared" si="10"/>
        <v>58.25</v>
      </c>
      <c r="Q21" s="53">
        <f t="shared" si="0"/>
        <v>58.25</v>
      </c>
      <c r="R21" s="20">
        <f t="shared" si="6"/>
        <v>14.25</v>
      </c>
      <c r="S21" s="20">
        <f t="shared" si="7"/>
        <v>5</v>
      </c>
      <c r="T21" s="20">
        <v>13000</v>
      </c>
      <c r="U21" s="30">
        <f t="shared" si="1"/>
        <v>3953.4246575342468</v>
      </c>
      <c r="V21" s="32">
        <f t="shared" si="8"/>
        <v>6090.41095890411</v>
      </c>
    </row>
    <row r="22" spans="1:22" ht="33.75" customHeight="1" x14ac:dyDescent="0.15">
      <c r="A22" s="7" t="s">
        <v>30</v>
      </c>
      <c r="B22" s="7" t="s">
        <v>24</v>
      </c>
      <c r="C22" s="7" t="s">
        <v>57</v>
      </c>
      <c r="D22" s="9">
        <v>154</v>
      </c>
      <c r="E22" s="25">
        <v>41309</v>
      </c>
      <c r="F22" s="10">
        <v>41395</v>
      </c>
      <c r="G22" s="11">
        <f t="shared" si="2"/>
        <v>2</v>
      </c>
      <c r="H22" s="20">
        <v>0.01</v>
      </c>
      <c r="I22" s="19">
        <f t="shared" si="3"/>
        <v>4.66</v>
      </c>
      <c r="J22" s="20">
        <v>1</v>
      </c>
      <c r="K22" s="20">
        <v>0</v>
      </c>
      <c r="L22" s="28">
        <f t="shared" si="4"/>
        <v>3.66</v>
      </c>
      <c r="M22" s="21">
        <v>1</v>
      </c>
      <c r="N22" s="47">
        <f t="shared" si="16"/>
        <v>41309</v>
      </c>
      <c r="O22" s="41">
        <f t="shared" si="17"/>
        <v>2</v>
      </c>
      <c r="P22" s="41">
        <f t="shared" si="10"/>
        <v>4.66</v>
      </c>
      <c r="Q22" s="53">
        <f t="shared" si="0"/>
        <v>4.66</v>
      </c>
      <c r="R22" s="20">
        <f t="shared" si="6"/>
        <v>3.66</v>
      </c>
      <c r="S22" s="20">
        <f t="shared" si="7"/>
        <v>0</v>
      </c>
      <c r="T22" s="20">
        <v>13000</v>
      </c>
      <c r="U22" s="30">
        <f t="shared" si="1"/>
        <v>1564.2739726027398</v>
      </c>
      <c r="V22" s="32">
        <f t="shared" si="8"/>
        <v>1564.2739726027398</v>
      </c>
    </row>
    <row r="23" spans="1:22" ht="24" customHeight="1" x14ac:dyDescent="0.15">
      <c r="A23" s="7" t="s">
        <v>30</v>
      </c>
      <c r="B23" s="7" t="s">
        <v>24</v>
      </c>
      <c r="C23" s="7" t="s">
        <v>29</v>
      </c>
      <c r="D23" s="9">
        <v>53</v>
      </c>
      <c r="E23" s="25">
        <v>39419</v>
      </c>
      <c r="F23" s="10">
        <v>41395</v>
      </c>
      <c r="G23" s="11">
        <f t="shared" si="2"/>
        <v>64</v>
      </c>
      <c r="H23" s="20">
        <v>5.03</v>
      </c>
      <c r="I23" s="19">
        <f t="shared" si="3"/>
        <v>149.12</v>
      </c>
      <c r="J23" s="20">
        <v>143</v>
      </c>
      <c r="K23" s="20">
        <v>146.99</v>
      </c>
      <c r="L23" s="28">
        <f t="shared" si="4"/>
        <v>6.1200000000000045</v>
      </c>
      <c r="M23" s="21">
        <v>117</v>
      </c>
      <c r="N23" s="49">
        <v>39448</v>
      </c>
      <c r="O23" s="41">
        <f>DATEDIF(N23,F23,"m")</f>
        <v>64</v>
      </c>
      <c r="P23" s="41">
        <f>O23*2.33</f>
        <v>149.12</v>
      </c>
      <c r="Q23" s="53">
        <f t="shared" si="0"/>
        <v>149.12</v>
      </c>
      <c r="R23" s="20">
        <f t="shared" si="6"/>
        <v>32.120000000000005</v>
      </c>
      <c r="S23" s="42"/>
      <c r="T23" s="20">
        <v>13000</v>
      </c>
      <c r="U23" s="30">
        <f t="shared" si="1"/>
        <v>2615.6712328767144</v>
      </c>
      <c r="V23" s="32">
        <f t="shared" si="8"/>
        <v>13728.000000000002</v>
      </c>
    </row>
    <row r="24" spans="1:22" ht="36" customHeight="1" x14ac:dyDescent="0.15">
      <c r="A24" s="7" t="s">
        <v>35</v>
      </c>
      <c r="B24" s="7" t="s">
        <v>127</v>
      </c>
      <c r="C24" s="7" t="s">
        <v>28</v>
      </c>
      <c r="D24" s="9">
        <v>137</v>
      </c>
      <c r="E24" s="25">
        <v>41106</v>
      </c>
      <c r="F24" s="10">
        <v>41395</v>
      </c>
      <c r="G24" s="11">
        <f t="shared" si="2"/>
        <v>9</v>
      </c>
      <c r="H24" s="20">
        <v>0.08</v>
      </c>
      <c r="I24" s="19">
        <f t="shared" si="3"/>
        <v>20.97</v>
      </c>
      <c r="J24" s="20">
        <v>5</v>
      </c>
      <c r="K24" s="20">
        <v>18.64</v>
      </c>
      <c r="L24" s="28">
        <f t="shared" si="4"/>
        <v>15.969999999999999</v>
      </c>
      <c r="M24" s="20">
        <v>5</v>
      </c>
      <c r="N24" s="47">
        <f t="shared" ref="N24:N29" si="18">E24</f>
        <v>41106</v>
      </c>
      <c r="O24" s="41">
        <f t="shared" ref="O24:O29" si="19">DATEDIF(N24,F24,"m")</f>
        <v>9</v>
      </c>
      <c r="P24" s="41">
        <f t="shared" si="10"/>
        <v>20.97</v>
      </c>
      <c r="Q24" s="53">
        <f t="shared" si="0"/>
        <v>20.97</v>
      </c>
      <c r="R24" s="20">
        <f t="shared" si="6"/>
        <v>15.969999999999999</v>
      </c>
      <c r="S24" s="20">
        <f t="shared" ref="S24:S47" si="20">J24-M24</f>
        <v>0</v>
      </c>
      <c r="T24" s="20">
        <v>13000</v>
      </c>
      <c r="U24" s="30">
        <f t="shared" si="1"/>
        <v>6825.534246575342</v>
      </c>
      <c r="V24" s="32">
        <f t="shared" si="8"/>
        <v>6825.534246575342</v>
      </c>
    </row>
    <row r="25" spans="1:22" ht="36" customHeight="1" x14ac:dyDescent="0.15">
      <c r="A25" s="7" t="s">
        <v>35</v>
      </c>
      <c r="B25" s="7" t="s">
        <v>27</v>
      </c>
      <c r="C25" s="7" t="s">
        <v>36</v>
      </c>
      <c r="D25" s="9">
        <v>114</v>
      </c>
      <c r="E25" s="25">
        <v>40639</v>
      </c>
      <c r="F25" s="10">
        <v>41395</v>
      </c>
      <c r="G25" s="11">
        <f t="shared" si="2"/>
        <v>24</v>
      </c>
      <c r="H25" s="20">
        <v>1.1100000000000001</v>
      </c>
      <c r="I25" s="19">
        <f t="shared" si="3"/>
        <v>55.92</v>
      </c>
      <c r="J25" s="20">
        <v>45</v>
      </c>
      <c r="K25" s="20">
        <v>53.63</v>
      </c>
      <c r="L25" s="28">
        <f t="shared" si="4"/>
        <v>10.920000000000002</v>
      </c>
      <c r="M25" s="20">
        <v>43</v>
      </c>
      <c r="N25" s="47">
        <f t="shared" si="18"/>
        <v>40639</v>
      </c>
      <c r="O25" s="41">
        <f t="shared" si="19"/>
        <v>24</v>
      </c>
      <c r="P25" s="41">
        <f>O25*2.33</f>
        <v>55.92</v>
      </c>
      <c r="Q25" s="53">
        <f t="shared" si="0"/>
        <v>55.92</v>
      </c>
      <c r="R25" s="20">
        <f t="shared" si="6"/>
        <v>12.920000000000002</v>
      </c>
      <c r="S25" s="20">
        <f t="shared" si="20"/>
        <v>2</v>
      </c>
      <c r="T25" s="20">
        <v>14000</v>
      </c>
      <c r="U25" s="30">
        <f t="shared" si="1"/>
        <v>5026.1917808219187</v>
      </c>
      <c r="V25" s="32">
        <f t="shared" si="8"/>
        <v>5946.7397260273983</v>
      </c>
    </row>
    <row r="26" spans="1:22" ht="24" customHeight="1" x14ac:dyDescent="0.15">
      <c r="A26" s="13" t="s">
        <v>37</v>
      </c>
      <c r="B26" s="7" t="s">
        <v>38</v>
      </c>
      <c r="C26" s="7" t="s">
        <v>39</v>
      </c>
      <c r="D26" s="9">
        <v>13</v>
      </c>
      <c r="E26" s="25">
        <v>40269</v>
      </c>
      <c r="F26" s="10">
        <v>41395</v>
      </c>
      <c r="G26" s="11">
        <f t="shared" si="2"/>
        <v>37</v>
      </c>
      <c r="H26" s="19">
        <v>3</v>
      </c>
      <c r="I26" s="19">
        <f t="shared" si="3"/>
        <v>86.210000000000008</v>
      </c>
      <c r="J26" s="20">
        <v>42</v>
      </c>
      <c r="K26" s="20">
        <v>84</v>
      </c>
      <c r="L26" s="61">
        <f t="shared" si="4"/>
        <v>44.210000000000008</v>
      </c>
      <c r="M26" s="20">
        <v>102</v>
      </c>
      <c r="N26" s="47">
        <f t="shared" si="18"/>
        <v>40269</v>
      </c>
      <c r="O26" s="41">
        <f t="shared" si="19"/>
        <v>37</v>
      </c>
      <c r="P26" s="41">
        <f t="shared" si="10"/>
        <v>86.210000000000008</v>
      </c>
      <c r="Q26" s="53">
        <f t="shared" si="0"/>
        <v>86.210000000000008</v>
      </c>
      <c r="R26" s="20">
        <f t="shared" si="6"/>
        <v>-15.789999999999992</v>
      </c>
      <c r="S26" s="20">
        <f t="shared" si="20"/>
        <v>-60</v>
      </c>
      <c r="T26" s="20">
        <v>12000</v>
      </c>
      <c r="U26" s="30">
        <f t="shared" si="1"/>
        <v>17441.753424657538</v>
      </c>
      <c r="V26" s="32">
        <f t="shared" si="8"/>
        <v>-6229.4794520547912</v>
      </c>
    </row>
    <row r="27" spans="1:22" ht="24" customHeight="1" x14ac:dyDescent="0.15">
      <c r="A27" s="13" t="s">
        <v>37</v>
      </c>
      <c r="B27" s="7" t="s">
        <v>121</v>
      </c>
      <c r="C27" s="7" t="s">
        <v>40</v>
      </c>
      <c r="D27" s="9">
        <v>93</v>
      </c>
      <c r="E27" s="25">
        <v>40269</v>
      </c>
      <c r="F27" s="10">
        <v>41395</v>
      </c>
      <c r="G27" s="11">
        <f t="shared" si="2"/>
        <v>37</v>
      </c>
      <c r="H27" s="19">
        <v>3</v>
      </c>
      <c r="I27" s="19">
        <f t="shared" si="3"/>
        <v>86.210000000000008</v>
      </c>
      <c r="J27" s="20">
        <v>72</v>
      </c>
      <c r="K27" s="20">
        <v>84</v>
      </c>
      <c r="L27" s="28">
        <f t="shared" si="4"/>
        <v>14.210000000000008</v>
      </c>
      <c r="M27" s="20">
        <v>73</v>
      </c>
      <c r="N27" s="47">
        <f t="shared" si="18"/>
        <v>40269</v>
      </c>
      <c r="O27" s="41">
        <f t="shared" si="19"/>
        <v>37</v>
      </c>
      <c r="P27" s="41">
        <f t="shared" si="10"/>
        <v>86.210000000000008</v>
      </c>
      <c r="Q27" s="53">
        <f t="shared" si="0"/>
        <v>86.210000000000008</v>
      </c>
      <c r="R27" s="20">
        <f t="shared" si="6"/>
        <v>13.210000000000008</v>
      </c>
      <c r="S27" s="20">
        <f t="shared" si="20"/>
        <v>-1</v>
      </c>
      <c r="T27" s="20">
        <v>13000</v>
      </c>
      <c r="U27" s="30">
        <f t="shared" si="1"/>
        <v>6073.3150684931543</v>
      </c>
      <c r="V27" s="32">
        <f t="shared" si="8"/>
        <v>5645.917808219182</v>
      </c>
    </row>
    <row r="28" spans="1:22" ht="24" customHeight="1" x14ac:dyDescent="0.15">
      <c r="A28" s="13" t="s">
        <v>37</v>
      </c>
      <c r="B28" s="7" t="s">
        <v>121</v>
      </c>
      <c r="C28" s="7" t="s">
        <v>41</v>
      </c>
      <c r="D28" s="9">
        <v>116</v>
      </c>
      <c r="E28" s="25">
        <v>40695</v>
      </c>
      <c r="F28" s="10">
        <v>41395</v>
      </c>
      <c r="G28" s="11">
        <f t="shared" si="2"/>
        <v>23</v>
      </c>
      <c r="H28" s="19">
        <v>1.1000000000000001</v>
      </c>
      <c r="I28" s="19">
        <f t="shared" si="3"/>
        <v>53.59</v>
      </c>
      <c r="J28" s="20">
        <v>28</v>
      </c>
      <c r="K28" s="20">
        <v>51.3</v>
      </c>
      <c r="L28" s="28">
        <f t="shared" si="4"/>
        <v>25.590000000000003</v>
      </c>
      <c r="M28" s="20">
        <v>29</v>
      </c>
      <c r="N28" s="47">
        <f t="shared" si="18"/>
        <v>40695</v>
      </c>
      <c r="O28" s="41">
        <f t="shared" si="19"/>
        <v>23</v>
      </c>
      <c r="P28" s="41">
        <f t="shared" si="10"/>
        <v>53.59</v>
      </c>
      <c r="Q28" s="53">
        <f t="shared" si="0"/>
        <v>53.59</v>
      </c>
      <c r="R28" s="20">
        <f t="shared" si="6"/>
        <v>24.590000000000003</v>
      </c>
      <c r="S28" s="20">
        <f t="shared" si="20"/>
        <v>-1</v>
      </c>
      <c r="T28" s="20">
        <v>13000</v>
      </c>
      <c r="U28" s="30">
        <f t="shared" si="1"/>
        <v>10937.095890410961</v>
      </c>
      <c r="V28" s="32">
        <f t="shared" si="8"/>
        <v>10509.698630136989</v>
      </c>
    </row>
    <row r="29" spans="1:22" ht="24" customHeight="1" x14ac:dyDescent="0.15">
      <c r="A29" s="13" t="s">
        <v>37</v>
      </c>
      <c r="B29" s="7" t="s">
        <v>11</v>
      </c>
      <c r="C29" s="7" t="s">
        <v>42</v>
      </c>
      <c r="D29" s="9">
        <v>143</v>
      </c>
      <c r="E29" s="25">
        <v>41157</v>
      </c>
      <c r="F29" s="10">
        <v>41395</v>
      </c>
      <c r="G29" s="11">
        <f t="shared" si="2"/>
        <v>7</v>
      </c>
      <c r="H29" s="20">
        <v>0.06</v>
      </c>
      <c r="I29" s="19">
        <f t="shared" si="3"/>
        <v>16.310000000000002</v>
      </c>
      <c r="J29" s="20">
        <v>5</v>
      </c>
      <c r="K29" s="20">
        <v>13.98</v>
      </c>
      <c r="L29" s="28">
        <f t="shared" si="4"/>
        <v>11.310000000000002</v>
      </c>
      <c r="M29" s="20">
        <v>5</v>
      </c>
      <c r="N29" s="47">
        <f t="shared" si="18"/>
        <v>41157</v>
      </c>
      <c r="O29" s="41">
        <f t="shared" si="19"/>
        <v>7</v>
      </c>
      <c r="P29" s="41">
        <f t="shared" si="10"/>
        <v>16.310000000000002</v>
      </c>
      <c r="Q29" s="53">
        <f t="shared" si="0"/>
        <v>16.310000000000002</v>
      </c>
      <c r="R29" s="20">
        <f t="shared" si="6"/>
        <v>11.310000000000002</v>
      </c>
      <c r="S29" s="20">
        <f t="shared" si="20"/>
        <v>0</v>
      </c>
      <c r="T29" s="20">
        <v>13000</v>
      </c>
      <c r="U29" s="30">
        <f t="shared" si="1"/>
        <v>4833.8630136986312</v>
      </c>
      <c r="V29" s="32">
        <f t="shared" si="8"/>
        <v>4833.8630136986312</v>
      </c>
    </row>
    <row r="30" spans="1:22" ht="24" customHeight="1" x14ac:dyDescent="0.15">
      <c r="A30" s="13" t="s">
        <v>37</v>
      </c>
      <c r="B30" s="7" t="s">
        <v>13</v>
      </c>
      <c r="C30" s="7" t="s">
        <v>43</v>
      </c>
      <c r="D30" s="9">
        <v>25</v>
      </c>
      <c r="E30" s="25">
        <v>38534</v>
      </c>
      <c r="F30" s="10">
        <v>41395</v>
      </c>
      <c r="G30" s="11">
        <f t="shared" si="2"/>
        <v>94</v>
      </c>
      <c r="H30" s="20">
        <v>7.09</v>
      </c>
      <c r="I30" s="19">
        <f t="shared" si="3"/>
        <v>219.02</v>
      </c>
      <c r="J30" s="20">
        <v>180</v>
      </c>
      <c r="K30" s="20">
        <v>216.97</v>
      </c>
      <c r="L30" s="61">
        <f t="shared" si="4"/>
        <v>39.02000000000001</v>
      </c>
      <c r="M30" s="20">
        <v>183</v>
      </c>
      <c r="N30" s="49">
        <v>39448</v>
      </c>
      <c r="O30" s="41">
        <f>DATEDIF(N30,F30,"m")</f>
        <v>64</v>
      </c>
      <c r="P30" s="41">
        <f>O30*2.33</f>
        <v>149.12</v>
      </c>
      <c r="Q30" s="53">
        <f t="shared" si="0"/>
        <v>149.12</v>
      </c>
      <c r="R30" s="20">
        <f t="shared" si="6"/>
        <v>-33.879999999999995</v>
      </c>
      <c r="S30" s="20">
        <f t="shared" si="20"/>
        <v>-3</v>
      </c>
      <c r="T30" s="20">
        <v>18000</v>
      </c>
      <c r="U30" s="30">
        <f t="shared" si="1"/>
        <v>23091.287671232883</v>
      </c>
      <c r="V30" s="32">
        <f t="shared" si="8"/>
        <v>-20049.534246575338</v>
      </c>
    </row>
    <row r="31" spans="1:22" ht="24" customHeight="1" x14ac:dyDescent="0.15">
      <c r="A31" s="13" t="s">
        <v>37</v>
      </c>
      <c r="B31" s="7" t="s">
        <v>121</v>
      </c>
      <c r="C31" s="7" t="s">
        <v>44</v>
      </c>
      <c r="D31" s="9">
        <v>117</v>
      </c>
      <c r="E31" s="25">
        <v>40695</v>
      </c>
      <c r="F31" s="10">
        <v>41395</v>
      </c>
      <c r="G31" s="11">
        <f t="shared" si="2"/>
        <v>23</v>
      </c>
      <c r="H31" s="19">
        <v>1.1000000000000001</v>
      </c>
      <c r="I31" s="19">
        <f t="shared" si="3"/>
        <v>53.59</v>
      </c>
      <c r="J31" s="20">
        <v>36</v>
      </c>
      <c r="K31" s="20">
        <v>51.3</v>
      </c>
      <c r="L31" s="28">
        <f t="shared" si="4"/>
        <v>17.590000000000003</v>
      </c>
      <c r="M31" s="20">
        <v>36</v>
      </c>
      <c r="N31" s="47">
        <f t="shared" ref="N31:N37" si="21">E31</f>
        <v>40695</v>
      </c>
      <c r="O31" s="41">
        <f t="shared" ref="O31:O37" si="22">DATEDIF(N31,F31,"m")</f>
        <v>23</v>
      </c>
      <c r="P31" s="41">
        <f t="shared" si="10"/>
        <v>53.59</v>
      </c>
      <c r="Q31" s="53">
        <f t="shared" si="0"/>
        <v>53.59</v>
      </c>
      <c r="R31" s="20">
        <f t="shared" si="6"/>
        <v>17.590000000000003</v>
      </c>
      <c r="S31" s="20">
        <f t="shared" si="20"/>
        <v>0</v>
      </c>
      <c r="T31" s="20">
        <v>13000</v>
      </c>
      <c r="U31" s="30">
        <f t="shared" si="1"/>
        <v>7517.9178082191802</v>
      </c>
      <c r="V31" s="32">
        <f t="shared" si="8"/>
        <v>7517.9178082191802</v>
      </c>
    </row>
    <row r="32" spans="1:22" ht="24" customHeight="1" x14ac:dyDescent="0.15">
      <c r="A32" s="13" t="s">
        <v>37</v>
      </c>
      <c r="B32" s="7" t="s">
        <v>11</v>
      </c>
      <c r="C32" s="13" t="s">
        <v>49</v>
      </c>
      <c r="D32" s="9">
        <v>149</v>
      </c>
      <c r="E32" s="25">
        <v>41260</v>
      </c>
      <c r="F32" s="10">
        <v>41395</v>
      </c>
      <c r="G32" s="11">
        <f t="shared" si="2"/>
        <v>4</v>
      </c>
      <c r="H32" s="20">
        <v>0.03</v>
      </c>
      <c r="I32" s="19">
        <f t="shared" si="3"/>
        <v>9.32</v>
      </c>
      <c r="J32" s="20">
        <v>0</v>
      </c>
      <c r="K32" s="20">
        <v>6.99</v>
      </c>
      <c r="L32" s="28">
        <f t="shared" si="4"/>
        <v>9.32</v>
      </c>
      <c r="M32" s="20">
        <v>9</v>
      </c>
      <c r="N32" s="47">
        <f t="shared" si="21"/>
        <v>41260</v>
      </c>
      <c r="O32" s="41">
        <f t="shared" si="22"/>
        <v>4</v>
      </c>
      <c r="P32" s="41">
        <f t="shared" si="10"/>
        <v>9.32</v>
      </c>
      <c r="Q32" s="53">
        <f t="shared" si="0"/>
        <v>9.32</v>
      </c>
      <c r="R32" s="20">
        <f t="shared" si="6"/>
        <v>0.32000000000000028</v>
      </c>
      <c r="S32" s="20">
        <f t="shared" si="20"/>
        <v>-9</v>
      </c>
      <c r="T32" s="20">
        <v>13000</v>
      </c>
      <c r="U32" s="30">
        <f t="shared" si="1"/>
        <v>3983.3424657534251</v>
      </c>
      <c r="V32" s="32">
        <f t="shared" si="8"/>
        <v>136.76712328767135</v>
      </c>
    </row>
    <row r="33" spans="1:22" ht="24" customHeight="1" x14ac:dyDescent="0.15">
      <c r="A33" s="13" t="s">
        <v>37</v>
      </c>
      <c r="B33" s="7" t="s">
        <v>122</v>
      </c>
      <c r="C33" s="13" t="s">
        <v>50</v>
      </c>
      <c r="D33" s="9">
        <v>153</v>
      </c>
      <c r="E33" s="25">
        <v>41306</v>
      </c>
      <c r="F33" s="10">
        <v>41395</v>
      </c>
      <c r="G33" s="11">
        <f t="shared" si="2"/>
        <v>3</v>
      </c>
      <c r="H33" s="20">
        <v>0.02</v>
      </c>
      <c r="I33" s="19">
        <f t="shared" si="3"/>
        <v>6.99</v>
      </c>
      <c r="J33" s="20">
        <v>0</v>
      </c>
      <c r="K33" s="20">
        <v>4.66</v>
      </c>
      <c r="L33" s="28">
        <f t="shared" si="4"/>
        <v>6.99</v>
      </c>
      <c r="M33" s="20">
        <v>0</v>
      </c>
      <c r="N33" s="47">
        <f t="shared" si="21"/>
        <v>41306</v>
      </c>
      <c r="O33" s="41">
        <f t="shared" si="22"/>
        <v>3</v>
      </c>
      <c r="P33" s="41">
        <f t="shared" si="10"/>
        <v>6.99</v>
      </c>
      <c r="Q33" s="53">
        <f t="shared" si="0"/>
        <v>6.99</v>
      </c>
      <c r="R33" s="20">
        <f t="shared" si="6"/>
        <v>6.99</v>
      </c>
      <c r="S33" s="20">
        <f t="shared" si="20"/>
        <v>0</v>
      </c>
      <c r="T33" s="20">
        <v>13000</v>
      </c>
      <c r="U33" s="30">
        <f t="shared" si="1"/>
        <v>2987.5068493150688</v>
      </c>
      <c r="V33" s="32">
        <f t="shared" si="8"/>
        <v>2987.5068493150688</v>
      </c>
    </row>
    <row r="34" spans="1:22" ht="24" customHeight="1" x14ac:dyDescent="0.15">
      <c r="A34" s="13" t="s">
        <v>37</v>
      </c>
      <c r="B34" s="7" t="s">
        <v>122</v>
      </c>
      <c r="C34" s="14" t="s">
        <v>51</v>
      </c>
      <c r="D34" s="9">
        <v>152</v>
      </c>
      <c r="E34" s="25">
        <v>41288</v>
      </c>
      <c r="F34" s="10">
        <v>41395</v>
      </c>
      <c r="G34" s="11">
        <f t="shared" si="2"/>
        <v>3</v>
      </c>
      <c r="H34" s="20">
        <v>0.02</v>
      </c>
      <c r="I34" s="19">
        <f t="shared" si="3"/>
        <v>6.99</v>
      </c>
      <c r="J34" s="20">
        <v>0</v>
      </c>
      <c r="K34" s="20">
        <v>4.66</v>
      </c>
      <c r="L34" s="28">
        <f t="shared" si="4"/>
        <v>6.99</v>
      </c>
      <c r="M34" s="20">
        <v>0</v>
      </c>
      <c r="N34" s="47">
        <f t="shared" si="21"/>
        <v>41288</v>
      </c>
      <c r="O34" s="41">
        <f t="shared" si="22"/>
        <v>3</v>
      </c>
      <c r="P34" s="41">
        <f t="shared" si="10"/>
        <v>6.99</v>
      </c>
      <c r="Q34" s="53">
        <f t="shared" si="0"/>
        <v>6.99</v>
      </c>
      <c r="R34" s="20">
        <f t="shared" si="6"/>
        <v>6.99</v>
      </c>
      <c r="S34" s="20">
        <f t="shared" si="20"/>
        <v>0</v>
      </c>
      <c r="T34" s="20">
        <v>13000</v>
      </c>
      <c r="U34" s="30">
        <f t="shared" si="1"/>
        <v>2987.5068493150688</v>
      </c>
      <c r="V34" s="32">
        <f t="shared" si="8"/>
        <v>2987.5068493150688</v>
      </c>
    </row>
    <row r="35" spans="1:22" ht="34.5" customHeight="1" x14ac:dyDescent="0.15">
      <c r="A35" s="7" t="s">
        <v>59</v>
      </c>
      <c r="B35" s="7" t="s">
        <v>38</v>
      </c>
      <c r="C35" s="15" t="s">
        <v>58</v>
      </c>
      <c r="D35" s="16">
        <v>122</v>
      </c>
      <c r="E35" s="25">
        <v>40787</v>
      </c>
      <c r="F35" s="10">
        <v>41395</v>
      </c>
      <c r="G35" s="11">
        <f t="shared" si="2"/>
        <v>20</v>
      </c>
      <c r="H35" s="20">
        <v>1.07</v>
      </c>
      <c r="I35" s="19">
        <f t="shared" si="3"/>
        <v>46.6</v>
      </c>
      <c r="J35" s="20">
        <v>50</v>
      </c>
      <c r="K35" s="20">
        <v>44.31</v>
      </c>
      <c r="L35" s="28">
        <f t="shared" si="4"/>
        <v>-3.3999999999999986</v>
      </c>
      <c r="M35" s="20">
        <v>48</v>
      </c>
      <c r="N35" s="47">
        <f t="shared" si="21"/>
        <v>40787</v>
      </c>
      <c r="O35" s="41">
        <f t="shared" si="22"/>
        <v>20</v>
      </c>
      <c r="P35" s="41">
        <f t="shared" si="10"/>
        <v>46.6</v>
      </c>
      <c r="Q35" s="53">
        <f t="shared" si="0"/>
        <v>46.6</v>
      </c>
      <c r="R35" s="20">
        <f t="shared" si="6"/>
        <v>-1.3999999999999986</v>
      </c>
      <c r="S35" s="20">
        <f t="shared" si="20"/>
        <v>2</v>
      </c>
      <c r="T35" s="20">
        <v>12000</v>
      </c>
      <c r="U35" s="30">
        <f t="shared" si="1"/>
        <v>-1341.369863013698</v>
      </c>
      <c r="V35" s="32">
        <f t="shared" si="8"/>
        <v>-552.32876712328709</v>
      </c>
    </row>
    <row r="36" spans="1:22" ht="35.25" customHeight="1" x14ac:dyDescent="0.15">
      <c r="A36" s="7" t="s">
        <v>59</v>
      </c>
      <c r="B36" s="7" t="s">
        <v>11</v>
      </c>
      <c r="C36" s="7" t="s">
        <v>60</v>
      </c>
      <c r="D36" s="9">
        <v>84</v>
      </c>
      <c r="E36" s="25">
        <v>40136</v>
      </c>
      <c r="F36" s="10">
        <v>41395</v>
      </c>
      <c r="G36" s="11">
        <f t="shared" si="2"/>
        <v>41</v>
      </c>
      <c r="H36" s="20">
        <v>3.04</v>
      </c>
      <c r="I36" s="19">
        <f t="shared" si="3"/>
        <v>95.53</v>
      </c>
      <c r="J36" s="20">
        <v>58</v>
      </c>
      <c r="K36" s="20">
        <v>93.32</v>
      </c>
      <c r="L36" s="28">
        <f t="shared" si="4"/>
        <v>37.53</v>
      </c>
      <c r="M36" s="20">
        <v>94</v>
      </c>
      <c r="N36" s="47">
        <f t="shared" si="21"/>
        <v>40136</v>
      </c>
      <c r="O36" s="41">
        <f t="shared" si="22"/>
        <v>41</v>
      </c>
      <c r="P36" s="41">
        <f t="shared" si="10"/>
        <v>95.53</v>
      </c>
      <c r="Q36" s="53">
        <f t="shared" si="0"/>
        <v>95.53</v>
      </c>
      <c r="R36" s="20">
        <f t="shared" si="6"/>
        <v>1.5300000000000011</v>
      </c>
      <c r="S36" s="20">
        <f t="shared" si="20"/>
        <v>-36</v>
      </c>
      <c r="T36" s="20">
        <v>13000</v>
      </c>
      <c r="U36" s="30">
        <f t="shared" si="1"/>
        <v>16040.219178082192</v>
      </c>
      <c r="V36" s="32">
        <f t="shared" si="8"/>
        <v>653.9178082191786</v>
      </c>
    </row>
    <row r="37" spans="1:22" ht="24" customHeight="1" x14ac:dyDescent="0.15">
      <c r="A37" s="7" t="s">
        <v>59</v>
      </c>
      <c r="B37" s="7" t="s">
        <v>13</v>
      </c>
      <c r="C37" s="7" t="s">
        <v>61</v>
      </c>
      <c r="D37" s="9">
        <v>82</v>
      </c>
      <c r="E37" s="25">
        <v>40119</v>
      </c>
      <c r="F37" s="10">
        <v>41395</v>
      </c>
      <c r="G37" s="11">
        <f t="shared" si="2"/>
        <v>41</v>
      </c>
      <c r="H37" s="20">
        <v>3.05</v>
      </c>
      <c r="I37" s="19">
        <f t="shared" si="3"/>
        <v>95.53</v>
      </c>
      <c r="J37" s="20">
        <v>65</v>
      </c>
      <c r="K37" s="20">
        <v>95.65</v>
      </c>
      <c r="L37" s="28">
        <f t="shared" si="4"/>
        <v>30.53</v>
      </c>
      <c r="M37" s="20">
        <v>90</v>
      </c>
      <c r="N37" s="47">
        <f t="shared" si="21"/>
        <v>40119</v>
      </c>
      <c r="O37" s="41">
        <f t="shared" si="22"/>
        <v>41</v>
      </c>
      <c r="P37" s="41">
        <f t="shared" si="10"/>
        <v>95.53</v>
      </c>
      <c r="Q37" s="53">
        <f t="shared" si="0"/>
        <v>95.53</v>
      </c>
      <c r="R37" s="20">
        <f t="shared" si="6"/>
        <v>5.5300000000000011</v>
      </c>
      <c r="S37" s="20">
        <f t="shared" si="20"/>
        <v>-25</v>
      </c>
      <c r="T37" s="20">
        <v>18000</v>
      </c>
      <c r="U37" s="30">
        <f t="shared" si="1"/>
        <v>18067.068493150688</v>
      </c>
      <c r="V37" s="32">
        <f t="shared" si="8"/>
        <v>3272.5479452054801</v>
      </c>
    </row>
    <row r="38" spans="1:22" ht="34.5" customHeight="1" x14ac:dyDescent="0.15">
      <c r="A38" s="7" t="s">
        <v>59</v>
      </c>
      <c r="B38" s="7" t="s">
        <v>27</v>
      </c>
      <c r="C38" s="7" t="s">
        <v>62</v>
      </c>
      <c r="D38" s="9">
        <v>18</v>
      </c>
      <c r="E38" s="25">
        <v>38215</v>
      </c>
      <c r="F38" s="10">
        <v>41395</v>
      </c>
      <c r="G38" s="11">
        <f t="shared" si="2"/>
        <v>104</v>
      </c>
      <c r="H38" s="20">
        <v>8.07</v>
      </c>
      <c r="I38" s="19">
        <f t="shared" si="3"/>
        <v>242.32</v>
      </c>
      <c r="J38" s="20">
        <v>202</v>
      </c>
      <c r="K38" s="20">
        <v>240.31</v>
      </c>
      <c r="L38" s="28">
        <f t="shared" si="4"/>
        <v>40.319999999999993</v>
      </c>
      <c r="M38" s="20">
        <v>140</v>
      </c>
      <c r="N38" s="49">
        <v>39448</v>
      </c>
      <c r="O38" s="41">
        <f>DATEDIF(N38,F38,"m")</f>
        <v>64</v>
      </c>
      <c r="P38" s="41">
        <f t="shared" si="10"/>
        <v>149.12</v>
      </c>
      <c r="Q38" s="53">
        <f t="shared" si="0"/>
        <v>149.12</v>
      </c>
      <c r="R38" s="20">
        <f t="shared" si="6"/>
        <v>9.1200000000000045</v>
      </c>
      <c r="S38" s="20">
        <f t="shared" si="20"/>
        <v>62</v>
      </c>
      <c r="T38" s="20">
        <v>14000</v>
      </c>
      <c r="U38" s="30">
        <f t="shared" si="1"/>
        <v>18558.246575342462</v>
      </c>
      <c r="V38" s="32">
        <f t="shared" si="8"/>
        <v>4197.698630136988</v>
      </c>
    </row>
    <row r="39" spans="1:22" ht="24" customHeight="1" x14ac:dyDescent="0.15">
      <c r="A39" s="7" t="s">
        <v>59</v>
      </c>
      <c r="B39" s="7" t="s">
        <v>11</v>
      </c>
      <c r="C39" s="7" t="s">
        <v>63</v>
      </c>
      <c r="D39" s="9">
        <v>104</v>
      </c>
      <c r="E39" s="25">
        <v>40469</v>
      </c>
      <c r="F39" s="10">
        <v>41395</v>
      </c>
      <c r="G39" s="11">
        <f t="shared" si="2"/>
        <v>30</v>
      </c>
      <c r="H39" s="20">
        <v>2.0499999999999998</v>
      </c>
      <c r="I39" s="19">
        <f t="shared" si="3"/>
        <v>69.900000000000006</v>
      </c>
      <c r="J39" s="20">
        <v>56</v>
      </c>
      <c r="K39" s="20">
        <v>67.650000000000006</v>
      </c>
      <c r="L39" s="28">
        <f t="shared" si="4"/>
        <v>13.900000000000006</v>
      </c>
      <c r="M39" s="20">
        <v>56</v>
      </c>
      <c r="N39" s="47">
        <f t="shared" ref="N39:N40" si="23">E39</f>
        <v>40469</v>
      </c>
      <c r="O39" s="41">
        <f t="shared" ref="O39:O40" si="24">DATEDIF(N39,F39,"m")</f>
        <v>30</v>
      </c>
      <c r="P39" s="41">
        <f t="shared" si="10"/>
        <v>69.900000000000006</v>
      </c>
      <c r="Q39" s="53">
        <f t="shared" si="0"/>
        <v>69.900000000000006</v>
      </c>
      <c r="R39" s="20">
        <f t="shared" si="6"/>
        <v>13.900000000000006</v>
      </c>
      <c r="S39" s="20">
        <f t="shared" si="20"/>
        <v>0</v>
      </c>
      <c r="T39" s="20">
        <v>13000</v>
      </c>
      <c r="U39" s="30">
        <f t="shared" si="1"/>
        <v>5940.8219178082218</v>
      </c>
      <c r="V39" s="32">
        <f t="shared" si="8"/>
        <v>5940.8219178082218</v>
      </c>
    </row>
    <row r="40" spans="1:22" ht="24" customHeight="1" x14ac:dyDescent="0.15">
      <c r="A40" s="7" t="s">
        <v>59</v>
      </c>
      <c r="B40" s="7" t="s">
        <v>122</v>
      </c>
      <c r="C40" s="7" t="s">
        <v>64</v>
      </c>
      <c r="D40" s="9">
        <v>150</v>
      </c>
      <c r="E40" s="25">
        <v>41283</v>
      </c>
      <c r="F40" s="10">
        <v>41395</v>
      </c>
      <c r="G40" s="11">
        <f t="shared" si="2"/>
        <v>3</v>
      </c>
      <c r="H40" s="20">
        <v>0.02</v>
      </c>
      <c r="I40" s="19">
        <f t="shared" si="3"/>
        <v>6.99</v>
      </c>
      <c r="J40" s="20">
        <v>0</v>
      </c>
      <c r="K40" s="20">
        <v>4.66</v>
      </c>
      <c r="L40" s="28">
        <f t="shared" si="4"/>
        <v>6.99</v>
      </c>
      <c r="M40" s="20">
        <v>0</v>
      </c>
      <c r="N40" s="47">
        <f t="shared" si="23"/>
        <v>41283</v>
      </c>
      <c r="O40" s="41">
        <f t="shared" si="24"/>
        <v>3</v>
      </c>
      <c r="P40" s="41">
        <f>O40*2.33</f>
        <v>6.99</v>
      </c>
      <c r="Q40" s="53">
        <f t="shared" si="0"/>
        <v>6.99</v>
      </c>
      <c r="R40" s="20">
        <f t="shared" si="6"/>
        <v>6.99</v>
      </c>
      <c r="S40" s="20">
        <f t="shared" si="20"/>
        <v>0</v>
      </c>
      <c r="T40" s="20">
        <v>13000</v>
      </c>
      <c r="U40" s="30">
        <f t="shared" si="1"/>
        <v>2987.5068493150688</v>
      </c>
      <c r="V40" s="32">
        <f t="shared" si="8"/>
        <v>2987.5068493150688</v>
      </c>
    </row>
    <row r="41" spans="1:22" ht="36" customHeight="1" x14ac:dyDescent="0.15">
      <c r="A41" s="7" t="s">
        <v>65</v>
      </c>
      <c r="B41" s="7" t="s">
        <v>66</v>
      </c>
      <c r="C41" s="7" t="s">
        <v>67</v>
      </c>
      <c r="D41" s="9">
        <v>31</v>
      </c>
      <c r="E41" s="25">
        <v>38727</v>
      </c>
      <c r="F41" s="10">
        <v>41395</v>
      </c>
      <c r="G41" s="11">
        <f t="shared" si="2"/>
        <v>87</v>
      </c>
      <c r="H41" s="20">
        <v>7.02</v>
      </c>
      <c r="I41" s="19">
        <f t="shared" si="3"/>
        <v>202.71</v>
      </c>
      <c r="J41" s="20">
        <v>173</v>
      </c>
      <c r="K41" s="20">
        <v>200.66</v>
      </c>
      <c r="L41" s="28">
        <f t="shared" si="4"/>
        <v>29.710000000000008</v>
      </c>
      <c r="M41" s="20">
        <v>120</v>
      </c>
      <c r="N41" s="49">
        <v>39448</v>
      </c>
      <c r="O41" s="41">
        <f>DATEDIF(N41,F41,"m")</f>
        <v>64</v>
      </c>
      <c r="P41" s="41">
        <f t="shared" si="10"/>
        <v>149.12</v>
      </c>
      <c r="Q41" s="53">
        <f t="shared" si="0"/>
        <v>149.12</v>
      </c>
      <c r="R41" s="20">
        <f t="shared" si="6"/>
        <v>29.120000000000005</v>
      </c>
      <c r="S41" s="20">
        <f t="shared" si="20"/>
        <v>53</v>
      </c>
      <c r="T41" s="20">
        <v>18000</v>
      </c>
      <c r="U41" s="30">
        <f t="shared" si="1"/>
        <v>17581.808219178089</v>
      </c>
      <c r="V41" s="32">
        <f t="shared" si="8"/>
        <v>17232.657534246577</v>
      </c>
    </row>
    <row r="42" spans="1:22" ht="24" customHeight="1" x14ac:dyDescent="0.15">
      <c r="A42" s="7" t="s">
        <v>65</v>
      </c>
      <c r="B42" s="7" t="s">
        <v>68</v>
      </c>
      <c r="C42" s="7" t="s">
        <v>69</v>
      </c>
      <c r="D42" s="9">
        <v>127</v>
      </c>
      <c r="E42" s="25">
        <v>40918</v>
      </c>
      <c r="F42" s="10">
        <v>41395</v>
      </c>
      <c r="G42" s="11">
        <f t="shared" si="2"/>
        <v>15</v>
      </c>
      <c r="H42" s="20">
        <v>1.02</v>
      </c>
      <c r="I42" s="19">
        <f t="shared" si="3"/>
        <v>34.950000000000003</v>
      </c>
      <c r="J42" s="20">
        <v>20</v>
      </c>
      <c r="K42" s="20">
        <v>32.659999999999997</v>
      </c>
      <c r="L42" s="28">
        <f t="shared" si="4"/>
        <v>14.950000000000003</v>
      </c>
      <c r="M42" s="20">
        <v>18</v>
      </c>
      <c r="N42" s="47">
        <f t="shared" ref="N42" si="25">E42</f>
        <v>40918</v>
      </c>
      <c r="O42" s="41">
        <f t="shared" ref="O42" si="26">DATEDIF(N42,F42,"m")</f>
        <v>15</v>
      </c>
      <c r="P42" s="41">
        <f t="shared" si="10"/>
        <v>34.950000000000003</v>
      </c>
      <c r="Q42" s="53">
        <f t="shared" si="0"/>
        <v>34.950000000000003</v>
      </c>
      <c r="R42" s="20">
        <f t="shared" si="6"/>
        <v>16.950000000000003</v>
      </c>
      <c r="S42" s="20">
        <f t="shared" si="20"/>
        <v>2</v>
      </c>
      <c r="T42" s="20">
        <v>12000</v>
      </c>
      <c r="U42" s="30">
        <f t="shared" si="1"/>
        <v>5898.0821917808225</v>
      </c>
      <c r="V42" s="32">
        <f t="shared" si="8"/>
        <v>6687.1232876712338</v>
      </c>
    </row>
    <row r="43" spans="1:22" ht="33.75" customHeight="1" x14ac:dyDescent="0.15">
      <c r="A43" s="7" t="s">
        <v>65</v>
      </c>
      <c r="B43" s="7" t="s">
        <v>68</v>
      </c>
      <c r="C43" s="7" t="s">
        <v>70</v>
      </c>
      <c r="D43" s="9">
        <v>58</v>
      </c>
      <c r="E43" s="25">
        <v>39479</v>
      </c>
      <c r="F43" s="10">
        <v>41395</v>
      </c>
      <c r="G43" s="11">
        <f t="shared" si="2"/>
        <v>63</v>
      </c>
      <c r="H43" s="20">
        <v>5.0199999999999996</v>
      </c>
      <c r="I43" s="19">
        <f t="shared" si="3"/>
        <v>146.79</v>
      </c>
      <c r="J43" s="20">
        <v>140</v>
      </c>
      <c r="K43" s="20">
        <v>144.66</v>
      </c>
      <c r="L43" s="28">
        <f t="shared" si="4"/>
        <v>6.789999999999992</v>
      </c>
      <c r="M43" s="20">
        <v>142</v>
      </c>
      <c r="N43" s="49">
        <v>39448</v>
      </c>
      <c r="O43" s="41">
        <f>DATEDIF(E43,F43,"m")</f>
        <v>63</v>
      </c>
      <c r="P43" s="41">
        <f t="shared" si="10"/>
        <v>146.79</v>
      </c>
      <c r="Q43" s="53">
        <f t="shared" si="0"/>
        <v>146.79</v>
      </c>
      <c r="R43" s="20">
        <f t="shared" si="6"/>
        <v>4.789999999999992</v>
      </c>
      <c r="S43" s="20">
        <f t="shared" si="20"/>
        <v>-2</v>
      </c>
      <c r="T43" s="20">
        <v>12000</v>
      </c>
      <c r="U43" s="30">
        <f t="shared" si="1"/>
        <v>2678.7945205479418</v>
      </c>
      <c r="V43" s="32">
        <f t="shared" si="8"/>
        <v>1889.753424657531</v>
      </c>
    </row>
    <row r="44" spans="1:22" ht="24" customHeight="1" x14ac:dyDescent="0.15">
      <c r="A44" s="7" t="s">
        <v>65</v>
      </c>
      <c r="B44" s="7" t="s">
        <v>68</v>
      </c>
      <c r="C44" s="7" t="s">
        <v>71</v>
      </c>
      <c r="D44" s="9">
        <v>96</v>
      </c>
      <c r="E44" s="25">
        <v>40360</v>
      </c>
      <c r="F44" s="10">
        <v>41395</v>
      </c>
      <c r="G44" s="11">
        <f t="shared" si="2"/>
        <v>34</v>
      </c>
      <c r="H44" s="20">
        <v>2.09</v>
      </c>
      <c r="I44" s="19">
        <f t="shared" si="3"/>
        <v>79.22</v>
      </c>
      <c r="J44" s="20">
        <v>42</v>
      </c>
      <c r="K44" s="20">
        <v>76.97</v>
      </c>
      <c r="L44" s="28">
        <f t="shared" si="4"/>
        <v>37.22</v>
      </c>
      <c r="M44" s="20">
        <v>54</v>
      </c>
      <c r="N44" s="47">
        <f t="shared" ref="N44:N46" si="27">E44</f>
        <v>40360</v>
      </c>
      <c r="O44" s="41">
        <f t="shared" ref="O44:O46" si="28">DATEDIF(N44,F44,"m")</f>
        <v>34</v>
      </c>
      <c r="P44" s="41">
        <f t="shared" si="10"/>
        <v>79.22</v>
      </c>
      <c r="Q44" s="53">
        <f t="shared" si="0"/>
        <v>79.22</v>
      </c>
      <c r="R44" s="20">
        <f t="shared" si="6"/>
        <v>25.22</v>
      </c>
      <c r="S44" s="20">
        <f t="shared" si="20"/>
        <v>-12</v>
      </c>
      <c r="T44" s="20">
        <v>12000</v>
      </c>
      <c r="U44" s="30">
        <f t="shared" si="1"/>
        <v>14684.054794520547</v>
      </c>
      <c r="V44" s="32">
        <f t="shared" si="8"/>
        <v>9949.8082191780813</v>
      </c>
    </row>
    <row r="45" spans="1:22" ht="24.75" customHeight="1" x14ac:dyDescent="0.15">
      <c r="A45" s="7" t="s">
        <v>65</v>
      </c>
      <c r="B45" s="7" t="s">
        <v>68</v>
      </c>
      <c r="C45" s="7" t="s">
        <v>72</v>
      </c>
      <c r="D45" s="9">
        <v>133</v>
      </c>
      <c r="E45" s="25">
        <v>41001</v>
      </c>
      <c r="F45" s="10">
        <v>41395</v>
      </c>
      <c r="G45" s="11">
        <f t="shared" si="2"/>
        <v>12</v>
      </c>
      <c r="H45" s="19">
        <v>1</v>
      </c>
      <c r="I45" s="19">
        <f t="shared" si="3"/>
        <v>27.96</v>
      </c>
      <c r="J45" s="20">
        <v>10</v>
      </c>
      <c r="K45" s="20">
        <v>28</v>
      </c>
      <c r="L45" s="28">
        <f t="shared" si="4"/>
        <v>17.96</v>
      </c>
      <c r="M45" s="20">
        <v>16</v>
      </c>
      <c r="N45" s="47">
        <f t="shared" si="27"/>
        <v>41001</v>
      </c>
      <c r="O45" s="41">
        <f t="shared" si="28"/>
        <v>12</v>
      </c>
      <c r="P45" s="41">
        <f t="shared" si="10"/>
        <v>27.96</v>
      </c>
      <c r="Q45" s="53">
        <f t="shared" si="0"/>
        <v>27.96</v>
      </c>
      <c r="R45" s="20">
        <f t="shared" si="6"/>
        <v>11.96</v>
      </c>
      <c r="S45" s="20">
        <f t="shared" si="20"/>
        <v>-6</v>
      </c>
      <c r="T45" s="20">
        <v>12000</v>
      </c>
      <c r="U45" s="30">
        <f t="shared" si="1"/>
        <v>7085.5890410958909</v>
      </c>
      <c r="V45" s="32">
        <f t="shared" si="8"/>
        <v>4718.465753424658</v>
      </c>
    </row>
    <row r="46" spans="1:22" ht="38.25" customHeight="1" x14ac:dyDescent="0.15">
      <c r="A46" s="7" t="s">
        <v>65</v>
      </c>
      <c r="B46" s="7" t="s">
        <v>73</v>
      </c>
      <c r="C46" s="7" t="s">
        <v>74</v>
      </c>
      <c r="D46" s="9">
        <v>135</v>
      </c>
      <c r="E46" s="25">
        <v>41067</v>
      </c>
      <c r="F46" s="10">
        <v>41395</v>
      </c>
      <c r="G46" s="11">
        <f t="shared" si="2"/>
        <v>10</v>
      </c>
      <c r="H46" s="20">
        <v>0.09</v>
      </c>
      <c r="I46" s="19">
        <f t="shared" si="3"/>
        <v>23.3</v>
      </c>
      <c r="J46" s="20">
        <v>21</v>
      </c>
      <c r="K46" s="20">
        <v>20.97</v>
      </c>
      <c r="L46" s="28">
        <f t="shared" si="4"/>
        <v>2.3000000000000007</v>
      </c>
      <c r="M46" s="20">
        <v>29</v>
      </c>
      <c r="N46" s="47">
        <f t="shared" si="27"/>
        <v>41067</v>
      </c>
      <c r="O46" s="41">
        <f t="shared" si="28"/>
        <v>10</v>
      </c>
      <c r="P46" s="41">
        <f>O46*2.33</f>
        <v>23.3</v>
      </c>
      <c r="Q46" s="53">
        <f t="shared" si="0"/>
        <v>23.3</v>
      </c>
      <c r="R46" s="20">
        <f t="shared" si="6"/>
        <v>-5.6999999999999993</v>
      </c>
      <c r="S46" s="20">
        <f t="shared" si="20"/>
        <v>-8</v>
      </c>
      <c r="T46" s="20">
        <v>13000</v>
      </c>
      <c r="U46" s="30">
        <f t="shared" si="1"/>
        <v>983.01369863013736</v>
      </c>
      <c r="V46" s="32">
        <f t="shared" si="8"/>
        <v>-2436.1643835616437</v>
      </c>
    </row>
    <row r="47" spans="1:22" ht="24" customHeight="1" x14ac:dyDescent="0.15">
      <c r="A47" s="7" t="s">
        <v>65</v>
      </c>
      <c r="B47" s="7" t="s">
        <v>75</v>
      </c>
      <c r="C47" s="7" t="s">
        <v>76</v>
      </c>
      <c r="D47" s="9">
        <v>43</v>
      </c>
      <c r="E47" s="25">
        <v>39234</v>
      </c>
      <c r="F47" s="10">
        <v>41395</v>
      </c>
      <c r="G47" s="11">
        <f t="shared" si="2"/>
        <v>71</v>
      </c>
      <c r="H47" s="19">
        <v>5.0999999999999996</v>
      </c>
      <c r="I47" s="19">
        <f t="shared" si="3"/>
        <v>165.43</v>
      </c>
      <c r="J47" s="20">
        <v>155</v>
      </c>
      <c r="K47" s="20">
        <v>163.30000000000001</v>
      </c>
      <c r="L47" s="28">
        <f t="shared" si="4"/>
        <v>10.430000000000007</v>
      </c>
      <c r="M47" s="20">
        <v>157</v>
      </c>
      <c r="N47" s="49">
        <v>39448</v>
      </c>
      <c r="O47" s="41">
        <f>DATEDIF(N47,F47,"m")</f>
        <v>64</v>
      </c>
      <c r="P47" s="41">
        <f t="shared" si="10"/>
        <v>149.12</v>
      </c>
      <c r="Q47" s="53">
        <f t="shared" si="0"/>
        <v>149.12</v>
      </c>
      <c r="R47" s="20">
        <f t="shared" si="6"/>
        <v>-7.8799999999999955</v>
      </c>
      <c r="S47" s="20">
        <f t="shared" si="20"/>
        <v>-2</v>
      </c>
      <c r="T47" s="20">
        <v>12000</v>
      </c>
      <c r="U47" s="30">
        <f t="shared" si="1"/>
        <v>4114.8493150684953</v>
      </c>
      <c r="V47" s="32">
        <f t="shared" si="8"/>
        <v>-3108.8219178082172</v>
      </c>
    </row>
    <row r="48" spans="1:22" ht="24" customHeight="1" x14ac:dyDescent="0.15">
      <c r="A48" s="13" t="s">
        <v>77</v>
      </c>
      <c r="B48" s="17" t="s">
        <v>78</v>
      </c>
      <c r="C48" s="7" t="s">
        <v>79</v>
      </c>
      <c r="D48" s="9">
        <v>3</v>
      </c>
      <c r="E48" s="25">
        <v>37622</v>
      </c>
      <c r="F48" s="10">
        <v>41395</v>
      </c>
      <c r="G48" s="11">
        <f t="shared" si="2"/>
        <v>124</v>
      </c>
      <c r="H48" s="20">
        <v>10.029999999999999</v>
      </c>
      <c r="I48" s="19">
        <f t="shared" si="3"/>
        <v>288.92</v>
      </c>
      <c r="J48" s="20">
        <v>256</v>
      </c>
      <c r="K48" s="20">
        <v>286.99</v>
      </c>
      <c r="L48" s="28">
        <f t="shared" si="4"/>
        <v>32.920000000000016</v>
      </c>
      <c r="M48" s="20">
        <v>120</v>
      </c>
      <c r="N48" s="49">
        <v>39448</v>
      </c>
      <c r="O48" s="41">
        <f>DATEDIF(N48,F48,"m")</f>
        <v>64</v>
      </c>
      <c r="P48" s="41">
        <f t="shared" si="10"/>
        <v>149.12</v>
      </c>
      <c r="Q48" s="53">
        <f t="shared" si="0"/>
        <v>149.12</v>
      </c>
      <c r="R48" s="20">
        <f t="shared" si="6"/>
        <v>29.120000000000005</v>
      </c>
      <c r="S48" s="42"/>
      <c r="T48" s="20">
        <v>20000</v>
      </c>
      <c r="U48" s="30">
        <f t="shared" si="1"/>
        <v>21646.027397260284</v>
      </c>
      <c r="V48" s="32">
        <f t="shared" si="8"/>
        <v>19147.397260273974</v>
      </c>
    </row>
    <row r="49" spans="1:22" ht="24" customHeight="1" x14ac:dyDescent="0.15">
      <c r="A49" s="13" t="s">
        <v>77</v>
      </c>
      <c r="B49" s="22" t="s">
        <v>80</v>
      </c>
      <c r="C49" s="12" t="s">
        <v>81</v>
      </c>
      <c r="D49" s="9">
        <v>36</v>
      </c>
      <c r="E49" s="25">
        <v>38930</v>
      </c>
      <c r="F49" s="10">
        <v>41395</v>
      </c>
      <c r="G49" s="11">
        <f t="shared" si="2"/>
        <v>81</v>
      </c>
      <c r="H49" s="20">
        <v>6.08</v>
      </c>
      <c r="I49" s="19">
        <f t="shared" si="3"/>
        <v>188.73000000000002</v>
      </c>
      <c r="J49" s="20">
        <v>136</v>
      </c>
      <c r="K49" s="20">
        <v>186.64</v>
      </c>
      <c r="L49" s="28">
        <f t="shared" si="4"/>
        <v>52.730000000000018</v>
      </c>
      <c r="M49" s="20">
        <v>126</v>
      </c>
      <c r="N49" s="49">
        <v>39448</v>
      </c>
      <c r="O49" s="41">
        <f>DATEDIF(N49,F49,"m")</f>
        <v>64</v>
      </c>
      <c r="P49" s="41">
        <f t="shared" si="10"/>
        <v>149.12</v>
      </c>
      <c r="Q49" s="53">
        <f t="shared" si="0"/>
        <v>149.12</v>
      </c>
      <c r="R49" s="20">
        <f t="shared" si="6"/>
        <v>23.120000000000005</v>
      </c>
      <c r="S49" s="20">
        <f t="shared" ref="S49:S56" si="29">J49-M49</f>
        <v>10</v>
      </c>
      <c r="T49" s="20">
        <v>13000</v>
      </c>
      <c r="U49" s="30">
        <f t="shared" si="1"/>
        <v>22536.657534246584</v>
      </c>
      <c r="V49" s="32">
        <f t="shared" si="8"/>
        <v>9881.4246575342495</v>
      </c>
    </row>
    <row r="50" spans="1:22" ht="24" customHeight="1" x14ac:dyDescent="0.15">
      <c r="A50" s="13" t="s">
        <v>77</v>
      </c>
      <c r="B50" s="7" t="s">
        <v>80</v>
      </c>
      <c r="C50" s="7" t="s">
        <v>82</v>
      </c>
      <c r="D50" s="9">
        <v>63</v>
      </c>
      <c r="E50" s="25">
        <v>39572</v>
      </c>
      <c r="F50" s="10">
        <v>41395</v>
      </c>
      <c r="G50" s="11">
        <f t="shared" si="2"/>
        <v>59</v>
      </c>
      <c r="H50" s="19">
        <v>4.0999999999999996</v>
      </c>
      <c r="I50" s="19">
        <f t="shared" si="3"/>
        <v>137.47</v>
      </c>
      <c r="J50" s="20">
        <v>21</v>
      </c>
      <c r="K50" s="20">
        <v>135.30000000000001</v>
      </c>
      <c r="L50" s="28">
        <f t="shared" si="4"/>
        <v>116.47</v>
      </c>
      <c r="M50" s="20">
        <v>40</v>
      </c>
      <c r="N50" s="49">
        <v>39448</v>
      </c>
      <c r="O50" s="41">
        <f>DATEDIF(E50,F50,"m")</f>
        <v>59</v>
      </c>
      <c r="P50" s="41">
        <f t="shared" si="10"/>
        <v>137.47</v>
      </c>
      <c r="Q50" s="53">
        <f t="shared" si="0"/>
        <v>137.47</v>
      </c>
      <c r="R50" s="20">
        <f t="shared" si="6"/>
        <v>97.47</v>
      </c>
      <c r="S50" s="20">
        <f t="shared" si="29"/>
        <v>-19</v>
      </c>
      <c r="T50" s="20">
        <v>13000</v>
      </c>
      <c r="U50" s="30">
        <f t="shared" si="1"/>
        <v>49778.95890410959</v>
      </c>
      <c r="V50" s="32">
        <f t="shared" si="8"/>
        <v>41658.410958904111</v>
      </c>
    </row>
    <row r="51" spans="1:22" ht="24" customHeight="1" x14ac:dyDescent="0.15">
      <c r="A51" s="13" t="s">
        <v>77</v>
      </c>
      <c r="B51" s="7" t="s">
        <v>80</v>
      </c>
      <c r="C51" s="7" t="s">
        <v>83</v>
      </c>
      <c r="D51" s="9">
        <v>144</v>
      </c>
      <c r="E51" s="25">
        <v>41183</v>
      </c>
      <c r="F51" s="10">
        <v>41395</v>
      </c>
      <c r="G51" s="11">
        <f t="shared" si="2"/>
        <v>7</v>
      </c>
      <c r="H51" s="20">
        <v>0.06</v>
      </c>
      <c r="I51" s="19">
        <f t="shared" si="3"/>
        <v>16.310000000000002</v>
      </c>
      <c r="J51" s="20">
        <v>0</v>
      </c>
      <c r="K51" s="20">
        <v>13.98</v>
      </c>
      <c r="L51" s="28">
        <f t="shared" si="4"/>
        <v>16.310000000000002</v>
      </c>
      <c r="M51" s="20">
        <v>0</v>
      </c>
      <c r="N51" s="47">
        <f t="shared" ref="N51:N52" si="30">E51</f>
        <v>41183</v>
      </c>
      <c r="O51" s="41">
        <f t="shared" ref="O51:O52" si="31">DATEDIF(N51,F51,"m")</f>
        <v>7</v>
      </c>
      <c r="P51" s="41">
        <f t="shared" si="10"/>
        <v>16.310000000000002</v>
      </c>
      <c r="Q51" s="53">
        <f t="shared" si="0"/>
        <v>16.310000000000002</v>
      </c>
      <c r="R51" s="20">
        <f t="shared" si="6"/>
        <v>16.310000000000002</v>
      </c>
      <c r="S51" s="20">
        <f t="shared" si="29"/>
        <v>0</v>
      </c>
      <c r="T51" s="20">
        <v>13000</v>
      </c>
      <c r="U51" s="30">
        <f t="shared" si="1"/>
        <v>6970.8493150684944</v>
      </c>
      <c r="V51" s="32">
        <f t="shared" si="8"/>
        <v>6970.8493150684944</v>
      </c>
    </row>
    <row r="52" spans="1:22" ht="35.25" customHeight="1" x14ac:dyDescent="0.15">
      <c r="A52" s="13" t="s">
        <v>77</v>
      </c>
      <c r="B52" s="7" t="s">
        <v>80</v>
      </c>
      <c r="C52" s="7" t="s">
        <v>84</v>
      </c>
      <c r="D52" s="9">
        <v>145</v>
      </c>
      <c r="E52" s="25">
        <v>41183</v>
      </c>
      <c r="F52" s="10">
        <v>41395</v>
      </c>
      <c r="G52" s="11">
        <f t="shared" si="2"/>
        <v>7</v>
      </c>
      <c r="H52" s="20">
        <v>0.06</v>
      </c>
      <c r="I52" s="19">
        <f t="shared" si="3"/>
        <v>16.310000000000002</v>
      </c>
      <c r="J52" s="20">
        <v>0</v>
      </c>
      <c r="K52" s="20">
        <v>13.98</v>
      </c>
      <c r="L52" s="28">
        <f t="shared" si="4"/>
        <v>16.310000000000002</v>
      </c>
      <c r="M52" s="20">
        <v>0</v>
      </c>
      <c r="N52" s="47">
        <f t="shared" si="30"/>
        <v>41183</v>
      </c>
      <c r="O52" s="41">
        <f t="shared" si="31"/>
        <v>7</v>
      </c>
      <c r="P52" s="41">
        <f>O52*2.33</f>
        <v>16.310000000000002</v>
      </c>
      <c r="Q52" s="53">
        <f t="shared" si="0"/>
        <v>16.310000000000002</v>
      </c>
      <c r="R52" s="20">
        <f t="shared" si="6"/>
        <v>16.310000000000002</v>
      </c>
      <c r="S52" s="20">
        <f t="shared" si="29"/>
        <v>0</v>
      </c>
      <c r="T52" s="20">
        <v>13000</v>
      </c>
      <c r="U52" s="30">
        <f t="shared" si="1"/>
        <v>6970.8493150684944</v>
      </c>
      <c r="V52" s="32">
        <f t="shared" si="8"/>
        <v>6970.8493150684944</v>
      </c>
    </row>
    <row r="53" spans="1:22" ht="24" customHeight="1" x14ac:dyDescent="0.15">
      <c r="A53" s="13" t="s">
        <v>77</v>
      </c>
      <c r="B53" s="7" t="s">
        <v>80</v>
      </c>
      <c r="C53" s="7" t="s">
        <v>86</v>
      </c>
      <c r="D53" s="9">
        <v>65</v>
      </c>
      <c r="E53" s="25">
        <v>39601</v>
      </c>
      <c r="F53" s="10">
        <v>41395</v>
      </c>
      <c r="G53" s="11">
        <f t="shared" si="2"/>
        <v>58</v>
      </c>
      <c r="H53" s="19">
        <v>4.0999999999999996</v>
      </c>
      <c r="I53" s="19">
        <f t="shared" si="3"/>
        <v>135.14000000000001</v>
      </c>
      <c r="J53" s="20">
        <v>115</v>
      </c>
      <c r="K53" s="20">
        <v>135.30000000000001</v>
      </c>
      <c r="L53" s="28">
        <f t="shared" si="4"/>
        <v>20.140000000000015</v>
      </c>
      <c r="M53" s="20">
        <v>148</v>
      </c>
      <c r="N53" s="49">
        <v>39448</v>
      </c>
      <c r="O53" s="41">
        <f>DATEDIF(E53,F53,"m")</f>
        <v>58</v>
      </c>
      <c r="P53" s="41">
        <f t="shared" si="10"/>
        <v>135.14000000000001</v>
      </c>
      <c r="Q53" s="53">
        <f t="shared" si="0"/>
        <v>135.14000000000001</v>
      </c>
      <c r="R53" s="20">
        <f t="shared" si="6"/>
        <v>-12.859999999999985</v>
      </c>
      <c r="S53" s="20">
        <f t="shared" si="29"/>
        <v>-33</v>
      </c>
      <c r="T53" s="20">
        <v>13000</v>
      </c>
      <c r="U53" s="30">
        <f t="shared" si="1"/>
        <v>8607.780821917815</v>
      </c>
      <c r="V53" s="32">
        <f t="shared" si="8"/>
        <v>-5496.328767123282</v>
      </c>
    </row>
    <row r="54" spans="1:22" ht="24" customHeight="1" x14ac:dyDescent="0.15">
      <c r="A54" s="13" t="s">
        <v>77</v>
      </c>
      <c r="B54" s="7" t="s">
        <v>80</v>
      </c>
      <c r="C54" s="7" t="s">
        <v>129</v>
      </c>
      <c r="D54" s="9"/>
      <c r="E54" s="25">
        <v>41365</v>
      </c>
      <c r="F54" s="10">
        <v>41395</v>
      </c>
      <c r="G54" s="11">
        <f t="shared" ref="G54:G55" si="32">DATEDIF(E54,F54,"m")</f>
        <v>1</v>
      </c>
      <c r="H54" s="19">
        <v>5.0999999999999996</v>
      </c>
      <c r="I54" s="19">
        <f t="shared" ref="I54:I55" si="33">G54*2.33</f>
        <v>2.33</v>
      </c>
      <c r="J54" s="20"/>
      <c r="K54" s="20">
        <v>135.30000000000001</v>
      </c>
      <c r="L54" s="28">
        <f t="shared" ref="L54:L55" si="34">I54-J54</f>
        <v>2.33</v>
      </c>
      <c r="M54" s="20"/>
      <c r="N54" s="47">
        <f t="shared" ref="N54:N56" si="35">E54</f>
        <v>41365</v>
      </c>
      <c r="O54" s="41">
        <f t="shared" ref="O54:O55" si="36">DATEDIF(E54,F54,"m")</f>
        <v>1</v>
      </c>
      <c r="P54" s="41">
        <f t="shared" si="10"/>
        <v>2.33</v>
      </c>
      <c r="Q54" s="53">
        <f t="shared" ref="Q54:Q55" si="37">O54*2.33</f>
        <v>2.33</v>
      </c>
      <c r="R54" s="20">
        <f t="shared" ref="R54:R55" si="38">Q54-M54</f>
        <v>2.33</v>
      </c>
      <c r="S54" s="20">
        <f t="shared" ref="S54:S55" si="39">J54-M54</f>
        <v>0</v>
      </c>
      <c r="T54" s="20">
        <v>13000</v>
      </c>
      <c r="U54" s="30">
        <f t="shared" ref="U54:U55" si="40">((T54*12)/365)*L54</f>
        <v>995.83561643835628</v>
      </c>
      <c r="V54" s="32">
        <f t="shared" ref="V54:V55" si="41">((T54*12)/365)*R54</f>
        <v>995.83561643835628</v>
      </c>
    </row>
    <row r="55" spans="1:22" ht="24" customHeight="1" x14ac:dyDescent="0.15">
      <c r="A55" s="13" t="s">
        <v>77</v>
      </c>
      <c r="B55" s="7" t="s">
        <v>80</v>
      </c>
      <c r="C55" s="7" t="s">
        <v>130</v>
      </c>
      <c r="D55" s="9"/>
      <c r="E55" s="25">
        <v>41376</v>
      </c>
      <c r="F55" s="10">
        <v>41395</v>
      </c>
      <c r="G55" s="11">
        <f t="shared" si="32"/>
        <v>0</v>
      </c>
      <c r="H55" s="19">
        <v>6.1</v>
      </c>
      <c r="I55" s="19">
        <f t="shared" si="33"/>
        <v>0</v>
      </c>
      <c r="J55" s="20"/>
      <c r="K55" s="20">
        <v>135.30000000000001</v>
      </c>
      <c r="L55" s="28">
        <f t="shared" si="34"/>
        <v>0</v>
      </c>
      <c r="M55" s="20"/>
      <c r="N55" s="47">
        <f t="shared" si="35"/>
        <v>41376</v>
      </c>
      <c r="O55" s="41">
        <f t="shared" si="36"/>
        <v>0</v>
      </c>
      <c r="P55" s="41">
        <f t="shared" si="10"/>
        <v>0</v>
      </c>
      <c r="Q55" s="53">
        <f t="shared" si="37"/>
        <v>0</v>
      </c>
      <c r="R55" s="20">
        <f t="shared" si="38"/>
        <v>0</v>
      </c>
      <c r="S55" s="20">
        <f t="shared" si="39"/>
        <v>0</v>
      </c>
      <c r="T55" s="20">
        <v>13000</v>
      </c>
      <c r="U55" s="30">
        <f t="shared" si="40"/>
        <v>0</v>
      </c>
      <c r="V55" s="32">
        <f t="shared" si="41"/>
        <v>0</v>
      </c>
    </row>
    <row r="56" spans="1:22" ht="36" customHeight="1" x14ac:dyDescent="0.15">
      <c r="A56" s="13" t="s">
        <v>37</v>
      </c>
      <c r="B56" s="7" t="s">
        <v>122</v>
      </c>
      <c r="C56" s="7" t="s">
        <v>131</v>
      </c>
      <c r="D56" s="9"/>
      <c r="E56" s="26">
        <v>41393</v>
      </c>
      <c r="F56" s="10">
        <v>41395</v>
      </c>
      <c r="G56" s="11">
        <f t="shared" si="2"/>
        <v>0</v>
      </c>
      <c r="H56" s="20">
        <v>0.02</v>
      </c>
      <c r="I56" s="19">
        <f t="shared" si="3"/>
        <v>0</v>
      </c>
      <c r="J56" s="20">
        <v>0</v>
      </c>
      <c r="K56" s="20">
        <v>4.66</v>
      </c>
      <c r="L56" s="28">
        <f t="shared" si="4"/>
        <v>0</v>
      </c>
      <c r="M56" s="20"/>
      <c r="N56" s="47">
        <f t="shared" si="35"/>
        <v>41393</v>
      </c>
      <c r="O56" s="41">
        <f t="shared" ref="O56" si="42">DATEDIF(N56,F56,"m")</f>
        <v>0</v>
      </c>
      <c r="P56" s="41">
        <f t="shared" si="10"/>
        <v>0</v>
      </c>
      <c r="Q56" s="53">
        <f t="shared" si="0"/>
        <v>0</v>
      </c>
      <c r="R56" s="20">
        <f t="shared" si="6"/>
        <v>0</v>
      </c>
      <c r="S56" s="20">
        <f t="shared" si="29"/>
        <v>0</v>
      </c>
      <c r="T56" s="20">
        <v>13000</v>
      </c>
      <c r="U56" s="30">
        <f t="shared" si="1"/>
        <v>0</v>
      </c>
      <c r="V56" s="32">
        <f t="shared" si="8"/>
        <v>0</v>
      </c>
    </row>
    <row r="57" spans="1:22" ht="24" customHeight="1" x14ac:dyDescent="0.15">
      <c r="A57" s="17"/>
      <c r="E57" s="27"/>
      <c r="F57" s="23"/>
      <c r="G57" s="23"/>
      <c r="H57" s="23"/>
      <c r="I57" s="23"/>
      <c r="J57" s="23"/>
      <c r="K57" s="23"/>
      <c r="L57" s="27"/>
      <c r="M57" s="23"/>
      <c r="N57" s="48"/>
      <c r="O57" s="48"/>
      <c r="P57" s="48"/>
      <c r="Q57" s="54"/>
      <c r="R57" s="23"/>
      <c r="S57" s="20"/>
      <c r="T57" s="23"/>
      <c r="U57" s="31"/>
    </row>
    <row r="58" spans="1:22" ht="24" customHeight="1" x14ac:dyDescent="0.15">
      <c r="E58" s="27"/>
      <c r="F58" s="23"/>
      <c r="G58" s="23"/>
      <c r="H58" s="23"/>
      <c r="I58" s="23"/>
      <c r="J58" s="23"/>
      <c r="K58" s="23"/>
      <c r="L58" s="27">
        <f>SUBTOTAL(9,L5:L56)</f>
        <v>1433.1500000000005</v>
      </c>
      <c r="M58" s="23"/>
      <c r="N58" s="48"/>
      <c r="O58" s="48"/>
      <c r="P58" s="48"/>
      <c r="Q58" s="54"/>
      <c r="R58" s="27">
        <f>SUBTOTAL(9,R5:R56)</f>
        <v>1048.46</v>
      </c>
      <c r="S58" s="23"/>
      <c r="T58" s="59">
        <f>SUBTOTAL(9,T5:T56)</f>
        <v>722000</v>
      </c>
      <c r="U58" s="60">
        <f>SUBTOTAL(9,U5:U56)</f>
        <v>766520.21917808184</v>
      </c>
      <c r="V58" s="58">
        <f>SUBTOTAL(9,V5:V56)</f>
        <v>513160.43835616449</v>
      </c>
    </row>
  </sheetData>
  <autoFilter ref="A4:W5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workbookViewId="0">
      <pane xSplit="3" ySplit="4" topLeftCell="D58" activePane="bottomRight" state="frozen"/>
      <selection activeCell="C1" sqref="C1"/>
      <selection pane="topRight" activeCell="D1" sqref="D1"/>
      <selection pane="bottomLeft" activeCell="C5" sqref="C5"/>
      <selection pane="bottomRight" activeCell="Q66" sqref="Q66"/>
    </sheetView>
  </sheetViews>
  <sheetFormatPr defaultRowHeight="25.5" customHeight="1" outlineLevelCol="1" x14ac:dyDescent="0.15"/>
  <cols>
    <col min="1" max="1" width="16" style="18" hidden="1" customWidth="1" outlineLevel="1"/>
    <col min="2" max="2" width="19.85546875" style="18" hidden="1" customWidth="1" outlineLevel="1"/>
    <col min="3" max="3" width="23.85546875" style="18" customWidth="1" collapsed="1"/>
    <col min="4" max="4" width="11.140625" style="18" customWidth="1"/>
    <col min="5" max="5" width="10.42578125" style="24" customWidth="1"/>
    <col min="6" max="6" width="10.5703125" style="18" customWidth="1"/>
    <col min="7" max="7" width="7.5703125" style="18" customWidth="1"/>
    <col min="8" max="8" width="9.140625" style="18" customWidth="1"/>
    <col min="9" max="9" width="9.140625" style="18"/>
    <col min="10" max="10" width="13.7109375" style="18" customWidth="1"/>
    <col min="11" max="11" width="14.7109375" style="18" hidden="1" customWidth="1"/>
    <col min="12" max="12" width="8.42578125" style="24" customWidth="1"/>
    <col min="13" max="13" width="13.85546875" style="18" customWidth="1"/>
    <col min="14" max="14" width="11.42578125" style="45" hidden="1" customWidth="1" outlineLevel="1"/>
    <col min="15" max="15" width="11.28515625" style="45" hidden="1" customWidth="1" outlineLevel="1"/>
    <col min="16" max="16" width="9.85546875" style="45" hidden="1" customWidth="1" outlineLevel="1"/>
    <col min="17" max="17" width="10.28515625" style="51" customWidth="1" collapsed="1"/>
    <col min="18" max="19" width="9.140625" style="18"/>
    <col min="20" max="20" width="14.5703125" style="18" customWidth="1" outlineLevel="1"/>
    <col min="21" max="21" width="13" style="29" customWidth="1" outlineLevel="1"/>
    <col min="22" max="22" width="16.42578125" style="18" customWidth="1" outlineLevel="1"/>
    <col min="23" max="16384" width="9.140625" style="18"/>
  </cols>
  <sheetData>
    <row r="1" spans="1:22" s="55" customFormat="1" ht="25.5" customHeight="1" x14ac:dyDescent="0.25"/>
    <row r="2" spans="1:22" s="55" customFormat="1" ht="25.5" customHeight="1" x14ac:dyDescent="0.25">
      <c r="G2" s="56"/>
    </row>
    <row r="3" spans="1:22" s="55" customFormat="1" ht="25.5" customHeight="1" x14ac:dyDescent="0.25"/>
    <row r="4" spans="1:22" s="44" customFormat="1" ht="34.5" customHeight="1" x14ac:dyDescent="0.15">
      <c r="A4" s="57" t="s">
        <v>0</v>
      </c>
      <c r="B4" s="57" t="s">
        <v>1</v>
      </c>
      <c r="C4" s="57" t="s">
        <v>2</v>
      </c>
      <c r="D4" s="35" t="s">
        <v>3</v>
      </c>
      <c r="E4" s="39" t="s">
        <v>107</v>
      </c>
      <c r="F4" s="57" t="s">
        <v>115</v>
      </c>
      <c r="G4" s="57" t="s">
        <v>117</v>
      </c>
      <c r="H4" s="36" t="s">
        <v>4</v>
      </c>
      <c r="I4" s="33" t="s">
        <v>118</v>
      </c>
      <c r="J4" s="34" t="s">
        <v>119</v>
      </c>
      <c r="K4" s="36" t="s">
        <v>108</v>
      </c>
      <c r="L4" s="40" t="s">
        <v>109</v>
      </c>
      <c r="M4" s="34" t="s">
        <v>120</v>
      </c>
      <c r="N4" s="46" t="s">
        <v>125</v>
      </c>
      <c r="O4" s="46" t="s">
        <v>124</v>
      </c>
      <c r="P4" s="50" t="s">
        <v>114</v>
      </c>
      <c r="Q4" s="52" t="s">
        <v>126</v>
      </c>
      <c r="R4" s="34" t="s">
        <v>110</v>
      </c>
      <c r="S4" s="34" t="s">
        <v>113</v>
      </c>
      <c r="T4" s="38" t="s">
        <v>111</v>
      </c>
      <c r="U4" s="37" t="s">
        <v>112</v>
      </c>
      <c r="V4" s="43" t="s">
        <v>123</v>
      </c>
    </row>
    <row r="5" spans="1:22" ht="25.5" customHeight="1" x14ac:dyDescent="0.15">
      <c r="A5" s="7" t="s">
        <v>31</v>
      </c>
      <c r="B5" s="7" t="s">
        <v>13</v>
      </c>
      <c r="C5" s="7" t="s">
        <v>9</v>
      </c>
      <c r="D5" s="9">
        <v>23</v>
      </c>
      <c r="E5" s="25">
        <v>38443</v>
      </c>
      <c r="F5" s="10">
        <v>41426</v>
      </c>
      <c r="G5" s="11">
        <f>DATEDIF(E5,F5,"m")</f>
        <v>98</v>
      </c>
      <c r="H5" s="19">
        <v>8</v>
      </c>
      <c r="I5" s="19">
        <f>G5*2.33</f>
        <v>228.34</v>
      </c>
      <c r="J5" s="20">
        <v>203</v>
      </c>
      <c r="K5" s="20">
        <v>224</v>
      </c>
      <c r="L5" s="28">
        <f>I5-J5</f>
        <v>25.340000000000003</v>
      </c>
      <c r="M5" s="21">
        <v>171</v>
      </c>
      <c r="N5" s="49">
        <v>39448</v>
      </c>
      <c r="O5" s="41">
        <f>DATEDIF(N5,F5,"m")</f>
        <v>65</v>
      </c>
      <c r="P5" s="41">
        <f>O5*2.33</f>
        <v>151.45000000000002</v>
      </c>
      <c r="Q5" s="53">
        <f t="shared" ref="Q5:Q56" si="0">O5*2.33</f>
        <v>151.45000000000002</v>
      </c>
      <c r="R5" s="20">
        <f>Q5-M5</f>
        <v>-19.549999999999983</v>
      </c>
      <c r="S5" s="42"/>
      <c r="T5" s="20">
        <v>18000</v>
      </c>
      <c r="U5" s="30">
        <f t="shared" ref="U5:U56" si="1">((T5*12)/365)*L5</f>
        <v>14995.726027397262</v>
      </c>
      <c r="V5" s="32">
        <f>((T5*12)/365)*R5</f>
        <v>-11569.315068493141</v>
      </c>
    </row>
    <row r="6" spans="1:22" ht="25.5" customHeight="1" x14ac:dyDescent="0.15">
      <c r="A6" s="7" t="s">
        <v>31</v>
      </c>
      <c r="B6" s="7" t="s">
        <v>46</v>
      </c>
      <c r="C6" s="7" t="s">
        <v>45</v>
      </c>
      <c r="D6" s="9">
        <v>106</v>
      </c>
      <c r="E6" s="25">
        <v>40513</v>
      </c>
      <c r="F6" s="10">
        <v>41426</v>
      </c>
      <c r="G6" s="11">
        <f t="shared" ref="G6:G56" si="2">DATEDIF(E6,F6,"m")</f>
        <v>30</v>
      </c>
      <c r="H6" s="19">
        <v>2.04</v>
      </c>
      <c r="I6" s="19">
        <f t="shared" ref="I6:I56" si="3">G6*2.33</f>
        <v>69.900000000000006</v>
      </c>
      <c r="J6" s="20">
        <v>56</v>
      </c>
      <c r="K6" s="20">
        <v>65.319999999999993</v>
      </c>
      <c r="L6" s="28">
        <f t="shared" ref="L6:L56" si="4">I6-J6</f>
        <v>13.900000000000006</v>
      </c>
      <c r="M6" s="20">
        <v>56</v>
      </c>
      <c r="N6" s="47">
        <f>E6</f>
        <v>40513</v>
      </c>
      <c r="O6" s="41">
        <f t="shared" ref="O6:O10" si="5">DATEDIF(N6,F6,"m")</f>
        <v>30</v>
      </c>
      <c r="P6" s="41">
        <f>O6*2.33</f>
        <v>69.900000000000006</v>
      </c>
      <c r="Q6" s="53">
        <f t="shared" si="0"/>
        <v>69.900000000000006</v>
      </c>
      <c r="R6" s="20">
        <f t="shared" ref="R6:R56" si="6">Q6-M6</f>
        <v>13.900000000000006</v>
      </c>
      <c r="S6" s="20">
        <f t="shared" ref="S6:S22" si="7">J6-M6</f>
        <v>0</v>
      </c>
      <c r="T6" s="20">
        <v>12000</v>
      </c>
      <c r="U6" s="30">
        <f t="shared" si="1"/>
        <v>5483.8356164383586</v>
      </c>
      <c r="V6" s="32">
        <f t="shared" ref="V6:V56" si="8">((T6*12)/365)*R6</f>
        <v>5483.8356164383586</v>
      </c>
    </row>
    <row r="7" spans="1:22" ht="25.5" customHeight="1" x14ac:dyDescent="0.15">
      <c r="A7" s="7" t="s">
        <v>31</v>
      </c>
      <c r="B7" s="7" t="s">
        <v>11</v>
      </c>
      <c r="C7" s="7" t="s">
        <v>16</v>
      </c>
      <c r="D7" s="9">
        <v>126</v>
      </c>
      <c r="E7" s="25">
        <v>40848</v>
      </c>
      <c r="F7" s="10">
        <v>41426</v>
      </c>
      <c r="G7" s="11">
        <f t="shared" si="2"/>
        <v>19</v>
      </c>
      <c r="H7" s="19">
        <v>1.05</v>
      </c>
      <c r="I7" s="19">
        <f t="shared" si="3"/>
        <v>44.27</v>
      </c>
      <c r="J7" s="20">
        <v>14</v>
      </c>
      <c r="K7" s="20">
        <v>39.65</v>
      </c>
      <c r="L7" s="28">
        <f t="shared" si="4"/>
        <v>30.270000000000003</v>
      </c>
      <c r="M7" s="21">
        <v>0</v>
      </c>
      <c r="N7" s="47">
        <f t="shared" ref="N7:N12" si="9">E7</f>
        <v>40848</v>
      </c>
      <c r="O7" s="41">
        <f t="shared" si="5"/>
        <v>19</v>
      </c>
      <c r="P7" s="41">
        <f t="shared" ref="P7:P56" si="10">O7*2.33</f>
        <v>44.27</v>
      </c>
      <c r="Q7" s="53">
        <f t="shared" si="0"/>
        <v>44.27</v>
      </c>
      <c r="R7" s="20">
        <f t="shared" si="6"/>
        <v>44.27</v>
      </c>
      <c r="S7" s="20">
        <f t="shared" si="7"/>
        <v>14</v>
      </c>
      <c r="T7" s="20">
        <v>13000</v>
      </c>
      <c r="U7" s="30">
        <f t="shared" si="1"/>
        <v>12937.315068493153</v>
      </c>
      <c r="V7" s="32">
        <f t="shared" si="8"/>
        <v>18920.876712328769</v>
      </c>
    </row>
    <row r="8" spans="1:22" ht="25.5" customHeight="1" x14ac:dyDescent="0.15">
      <c r="A8" s="7" t="s">
        <v>31</v>
      </c>
      <c r="B8" s="7" t="s">
        <v>11</v>
      </c>
      <c r="C8" s="7" t="s">
        <v>12</v>
      </c>
      <c r="D8" s="9">
        <v>123</v>
      </c>
      <c r="E8" s="25">
        <v>40826</v>
      </c>
      <c r="F8" s="10">
        <v>41426</v>
      </c>
      <c r="G8" s="11">
        <f t="shared" si="2"/>
        <v>19</v>
      </c>
      <c r="H8" s="19">
        <v>1.05</v>
      </c>
      <c r="I8" s="19">
        <f t="shared" si="3"/>
        <v>44.27</v>
      </c>
      <c r="J8" s="20">
        <v>43</v>
      </c>
      <c r="K8" s="20">
        <v>39.65</v>
      </c>
      <c r="L8" s="28">
        <f t="shared" si="4"/>
        <v>1.2700000000000031</v>
      </c>
      <c r="M8" s="21">
        <v>43</v>
      </c>
      <c r="N8" s="47">
        <f t="shared" si="9"/>
        <v>40826</v>
      </c>
      <c r="O8" s="41">
        <f t="shared" si="5"/>
        <v>19</v>
      </c>
      <c r="P8" s="41">
        <f t="shared" si="10"/>
        <v>44.27</v>
      </c>
      <c r="Q8" s="53">
        <f t="shared" si="0"/>
        <v>44.27</v>
      </c>
      <c r="R8" s="20">
        <f t="shared" si="6"/>
        <v>1.2700000000000031</v>
      </c>
      <c r="S8" s="20">
        <f t="shared" si="7"/>
        <v>0</v>
      </c>
      <c r="T8" s="20">
        <v>13000</v>
      </c>
      <c r="U8" s="30">
        <f t="shared" si="1"/>
        <v>542.7945205479466</v>
      </c>
      <c r="V8" s="32">
        <f t="shared" si="8"/>
        <v>542.7945205479466</v>
      </c>
    </row>
    <row r="9" spans="1:22" ht="25.5" customHeight="1" x14ac:dyDescent="0.15">
      <c r="A9" s="7" t="s">
        <v>31</v>
      </c>
      <c r="B9" s="7" t="s">
        <v>11</v>
      </c>
      <c r="C9" s="7" t="s">
        <v>26</v>
      </c>
      <c r="D9" s="9">
        <v>134</v>
      </c>
      <c r="E9" s="25">
        <v>41031</v>
      </c>
      <c r="F9" s="10">
        <v>41426</v>
      </c>
      <c r="G9" s="11">
        <f t="shared" si="2"/>
        <v>12</v>
      </c>
      <c r="H9" s="19">
        <v>0.11</v>
      </c>
      <c r="I9" s="19">
        <f t="shared" si="3"/>
        <v>27.96</v>
      </c>
      <c r="J9" s="20">
        <v>9</v>
      </c>
      <c r="K9" s="20">
        <v>25.63</v>
      </c>
      <c r="L9" s="28">
        <f t="shared" si="4"/>
        <v>18.96</v>
      </c>
      <c r="M9" s="21">
        <v>12</v>
      </c>
      <c r="N9" s="47">
        <f t="shared" si="9"/>
        <v>41031</v>
      </c>
      <c r="O9" s="41">
        <f t="shared" si="5"/>
        <v>12</v>
      </c>
      <c r="P9" s="41">
        <f t="shared" si="10"/>
        <v>27.96</v>
      </c>
      <c r="Q9" s="53">
        <f t="shared" si="0"/>
        <v>27.96</v>
      </c>
      <c r="R9" s="20">
        <f t="shared" si="6"/>
        <v>15.96</v>
      </c>
      <c r="S9" s="20">
        <f t="shared" si="7"/>
        <v>-3</v>
      </c>
      <c r="T9" s="20">
        <v>13000</v>
      </c>
      <c r="U9" s="30">
        <f t="shared" si="1"/>
        <v>8103.4520547945212</v>
      </c>
      <c r="V9" s="32">
        <f t="shared" si="8"/>
        <v>6821.2602739726035</v>
      </c>
    </row>
    <row r="10" spans="1:22" ht="25.5" customHeight="1" x14ac:dyDescent="0.15">
      <c r="A10" s="7" t="s">
        <v>31</v>
      </c>
      <c r="B10" s="7" t="s">
        <v>11</v>
      </c>
      <c r="C10" s="7" t="s">
        <v>47</v>
      </c>
      <c r="D10" s="9">
        <v>130</v>
      </c>
      <c r="E10" s="25">
        <v>40969</v>
      </c>
      <c r="F10" s="10">
        <v>41426</v>
      </c>
      <c r="G10" s="11">
        <f t="shared" si="2"/>
        <v>15</v>
      </c>
      <c r="H10" s="19">
        <v>1</v>
      </c>
      <c r="I10" s="19">
        <f t="shared" si="3"/>
        <v>34.950000000000003</v>
      </c>
      <c r="J10" s="20">
        <v>28</v>
      </c>
      <c r="K10" s="20">
        <v>28</v>
      </c>
      <c r="L10" s="28">
        <f t="shared" si="4"/>
        <v>6.9500000000000028</v>
      </c>
      <c r="M10" s="20">
        <v>0</v>
      </c>
      <c r="N10" s="47">
        <f t="shared" si="9"/>
        <v>40969</v>
      </c>
      <c r="O10" s="41">
        <f t="shared" si="5"/>
        <v>15</v>
      </c>
      <c r="P10" s="41">
        <f t="shared" si="10"/>
        <v>34.950000000000003</v>
      </c>
      <c r="Q10" s="53">
        <f t="shared" si="0"/>
        <v>34.950000000000003</v>
      </c>
      <c r="R10" s="20">
        <f t="shared" si="6"/>
        <v>34.950000000000003</v>
      </c>
      <c r="S10" s="20">
        <f t="shared" si="7"/>
        <v>28</v>
      </c>
      <c r="T10" s="20">
        <v>13000</v>
      </c>
      <c r="U10" s="30">
        <f t="shared" si="1"/>
        <v>2970.4109589041109</v>
      </c>
      <c r="V10" s="32">
        <f t="shared" si="8"/>
        <v>14937.534246575344</v>
      </c>
    </row>
    <row r="11" spans="1:22" ht="25.5" customHeight="1" x14ac:dyDescent="0.15">
      <c r="A11" s="7" t="s">
        <v>8</v>
      </c>
      <c r="B11" s="7" t="s">
        <v>14</v>
      </c>
      <c r="C11" s="7" t="s">
        <v>15</v>
      </c>
      <c r="D11" s="9">
        <v>8</v>
      </c>
      <c r="E11" s="25">
        <v>37259</v>
      </c>
      <c r="F11" s="10">
        <v>41426</v>
      </c>
      <c r="G11" s="11">
        <f t="shared" si="2"/>
        <v>136</v>
      </c>
      <c r="H11" s="19">
        <v>11.02</v>
      </c>
      <c r="I11" s="19">
        <f t="shared" si="3"/>
        <v>316.88</v>
      </c>
      <c r="J11" s="20">
        <v>197</v>
      </c>
      <c r="K11" s="20">
        <v>312.66000000000003</v>
      </c>
      <c r="L11" s="28">
        <f t="shared" si="4"/>
        <v>119.88</v>
      </c>
      <c r="M11" s="21">
        <v>88</v>
      </c>
      <c r="N11" s="49">
        <v>39448</v>
      </c>
      <c r="O11" s="41">
        <f>DATEDIF(N11,F11,"m")</f>
        <v>65</v>
      </c>
      <c r="P11" s="41">
        <f t="shared" si="10"/>
        <v>151.45000000000002</v>
      </c>
      <c r="Q11" s="53">
        <f t="shared" si="0"/>
        <v>151.45000000000002</v>
      </c>
      <c r="R11" s="20">
        <f t="shared" si="6"/>
        <v>63.450000000000017</v>
      </c>
      <c r="S11" s="20">
        <f t="shared" si="7"/>
        <v>109</v>
      </c>
      <c r="T11" s="20">
        <v>28000</v>
      </c>
      <c r="U11" s="30">
        <f t="shared" si="1"/>
        <v>110355.28767123287</v>
      </c>
      <c r="V11" s="32">
        <f t="shared" si="8"/>
        <v>58408.767123287689</v>
      </c>
    </row>
    <row r="12" spans="1:22" ht="25.5" customHeight="1" x14ac:dyDescent="0.15">
      <c r="A12" s="7" t="s">
        <v>8</v>
      </c>
      <c r="B12" s="7" t="s">
        <v>10</v>
      </c>
      <c r="C12" s="8" t="s">
        <v>128</v>
      </c>
      <c r="D12" s="9">
        <v>140</v>
      </c>
      <c r="E12" s="25">
        <v>41143</v>
      </c>
      <c r="F12" s="10">
        <v>41426</v>
      </c>
      <c r="G12" s="11">
        <f t="shared" si="2"/>
        <v>9</v>
      </c>
      <c r="H12" s="19">
        <v>7.0000000000000007E-2</v>
      </c>
      <c r="I12" s="19">
        <f t="shared" si="3"/>
        <v>20.97</v>
      </c>
      <c r="J12" s="20">
        <v>7</v>
      </c>
      <c r="K12" s="20">
        <v>16.309999999999999</v>
      </c>
      <c r="L12" s="28">
        <f t="shared" si="4"/>
        <v>13.969999999999999</v>
      </c>
      <c r="M12" s="21">
        <v>7</v>
      </c>
      <c r="N12" s="47">
        <f t="shared" si="9"/>
        <v>41143</v>
      </c>
      <c r="O12" s="41">
        <f t="shared" ref="O12" si="11">DATEDIF(N12,F12,"m")</f>
        <v>9</v>
      </c>
      <c r="P12" s="41">
        <f t="shared" si="10"/>
        <v>20.97</v>
      </c>
      <c r="Q12" s="53">
        <f t="shared" si="0"/>
        <v>20.97</v>
      </c>
      <c r="R12" s="20">
        <f t="shared" si="6"/>
        <v>13.969999999999999</v>
      </c>
      <c r="S12" s="20">
        <f t="shared" si="7"/>
        <v>0</v>
      </c>
      <c r="T12" s="20">
        <v>12000</v>
      </c>
      <c r="U12" s="30">
        <f t="shared" si="1"/>
        <v>5511.4520547945203</v>
      </c>
      <c r="V12" s="32">
        <f t="shared" si="8"/>
        <v>5511.4520547945203</v>
      </c>
    </row>
    <row r="13" spans="1:22" ht="25.5" customHeight="1" x14ac:dyDescent="0.15">
      <c r="A13" s="7" t="s">
        <v>32</v>
      </c>
      <c r="B13" s="7" t="s">
        <v>33</v>
      </c>
      <c r="C13" s="7" t="s">
        <v>17</v>
      </c>
      <c r="D13" s="9">
        <v>13</v>
      </c>
      <c r="E13" s="25">
        <v>37773</v>
      </c>
      <c r="F13" s="10">
        <v>41426</v>
      </c>
      <c r="G13" s="11">
        <f t="shared" si="2"/>
        <v>120</v>
      </c>
      <c r="H13" s="19">
        <v>9.1</v>
      </c>
      <c r="I13" s="19">
        <f t="shared" si="3"/>
        <v>279.60000000000002</v>
      </c>
      <c r="J13" s="20">
        <v>128</v>
      </c>
      <c r="K13" s="20">
        <v>275.3</v>
      </c>
      <c r="L13" s="28">
        <f t="shared" si="4"/>
        <v>151.60000000000002</v>
      </c>
      <c r="M13" s="21">
        <v>74</v>
      </c>
      <c r="N13" s="49">
        <v>39448</v>
      </c>
      <c r="O13" s="41">
        <f>DATEDIF(N13,F13,"m")</f>
        <v>65</v>
      </c>
      <c r="P13" s="41">
        <f t="shared" si="10"/>
        <v>151.45000000000002</v>
      </c>
      <c r="Q13" s="53">
        <f t="shared" si="0"/>
        <v>151.45000000000002</v>
      </c>
      <c r="R13" s="20">
        <f t="shared" si="6"/>
        <v>77.450000000000017</v>
      </c>
      <c r="S13" s="20">
        <f t="shared" si="7"/>
        <v>54</v>
      </c>
      <c r="T13" s="20">
        <v>18000</v>
      </c>
      <c r="U13" s="30">
        <f t="shared" si="1"/>
        <v>89713.972602739741</v>
      </c>
      <c r="V13" s="32">
        <f t="shared" si="8"/>
        <v>45833.424657534255</v>
      </c>
    </row>
    <row r="14" spans="1:22" ht="25.5" customHeight="1" x14ac:dyDescent="0.15">
      <c r="A14" s="7" t="s">
        <v>32</v>
      </c>
      <c r="B14" s="7" t="s">
        <v>18</v>
      </c>
      <c r="C14" s="7" t="s">
        <v>53</v>
      </c>
      <c r="D14" s="9">
        <v>57</v>
      </c>
      <c r="E14" s="25">
        <v>39456</v>
      </c>
      <c r="F14" s="10">
        <v>41426</v>
      </c>
      <c r="G14" s="11">
        <f t="shared" si="2"/>
        <v>64</v>
      </c>
      <c r="H14" s="20">
        <v>5.0199999999999996</v>
      </c>
      <c r="I14" s="19">
        <f t="shared" si="3"/>
        <v>149.12</v>
      </c>
      <c r="J14" s="20">
        <v>114</v>
      </c>
      <c r="K14" s="20">
        <v>144.66</v>
      </c>
      <c r="L14" s="28">
        <f t="shared" si="4"/>
        <v>35.120000000000005</v>
      </c>
      <c r="M14" s="21">
        <v>57</v>
      </c>
      <c r="N14" s="49">
        <v>39448</v>
      </c>
      <c r="O14" s="41">
        <f>DATEDIF(E14,F14,"m")</f>
        <v>64</v>
      </c>
      <c r="P14" s="41">
        <f t="shared" si="10"/>
        <v>149.12</v>
      </c>
      <c r="Q14" s="53">
        <f t="shared" si="0"/>
        <v>149.12</v>
      </c>
      <c r="R14" s="20">
        <f t="shared" si="6"/>
        <v>92.12</v>
      </c>
      <c r="S14" s="20">
        <f t="shared" si="7"/>
        <v>57</v>
      </c>
      <c r="T14" s="20">
        <v>12000</v>
      </c>
      <c r="U14" s="30">
        <f t="shared" si="1"/>
        <v>13855.561643835617</v>
      </c>
      <c r="V14" s="32">
        <f t="shared" si="8"/>
        <v>36343.232876712333</v>
      </c>
    </row>
    <row r="15" spans="1:22" ht="28.5" customHeight="1" x14ac:dyDescent="0.15">
      <c r="A15" s="7" t="s">
        <v>32</v>
      </c>
      <c r="B15" s="7" t="s">
        <v>18</v>
      </c>
      <c r="C15" s="7" t="s">
        <v>54</v>
      </c>
      <c r="D15" s="9">
        <v>111</v>
      </c>
      <c r="E15" s="25">
        <v>40603</v>
      </c>
      <c r="F15" s="10">
        <v>41426</v>
      </c>
      <c r="G15" s="11">
        <f t="shared" si="2"/>
        <v>27</v>
      </c>
      <c r="H15" s="20">
        <v>2.0099999999999998</v>
      </c>
      <c r="I15" s="19">
        <f t="shared" si="3"/>
        <v>62.910000000000004</v>
      </c>
      <c r="J15" s="20">
        <v>56</v>
      </c>
      <c r="K15" s="20">
        <v>58.33</v>
      </c>
      <c r="L15" s="28">
        <f t="shared" si="4"/>
        <v>6.9100000000000037</v>
      </c>
      <c r="M15" s="21">
        <v>56</v>
      </c>
      <c r="N15" s="47">
        <f t="shared" ref="N15" si="12">E15</f>
        <v>40603</v>
      </c>
      <c r="O15" s="41">
        <f t="shared" ref="O15" si="13">DATEDIF(N15,F15,"m")</f>
        <v>27</v>
      </c>
      <c r="P15" s="41">
        <f t="shared" si="10"/>
        <v>62.910000000000004</v>
      </c>
      <c r="Q15" s="53">
        <f t="shared" si="0"/>
        <v>62.910000000000004</v>
      </c>
      <c r="R15" s="20">
        <f t="shared" si="6"/>
        <v>6.9100000000000037</v>
      </c>
      <c r="S15" s="20">
        <f t="shared" si="7"/>
        <v>0</v>
      </c>
      <c r="T15" s="20">
        <v>12000</v>
      </c>
      <c r="U15" s="30">
        <f t="shared" si="1"/>
        <v>2726.1369863013711</v>
      </c>
      <c r="V15" s="32">
        <f t="shared" si="8"/>
        <v>2726.1369863013711</v>
      </c>
    </row>
    <row r="16" spans="1:22" ht="25.5" customHeight="1" x14ac:dyDescent="0.15">
      <c r="A16" s="7" t="s">
        <v>32</v>
      </c>
      <c r="B16" s="7" t="s">
        <v>18</v>
      </c>
      <c r="C16" s="7" t="s">
        <v>55</v>
      </c>
      <c r="D16" s="9">
        <v>50</v>
      </c>
      <c r="E16" s="25">
        <v>39387</v>
      </c>
      <c r="F16" s="10">
        <v>41426</v>
      </c>
      <c r="G16" s="11">
        <f t="shared" si="2"/>
        <v>67</v>
      </c>
      <c r="H16" s="20">
        <v>5.05</v>
      </c>
      <c r="I16" s="19">
        <f t="shared" si="3"/>
        <v>156.11000000000001</v>
      </c>
      <c r="J16" s="20">
        <v>112</v>
      </c>
      <c r="K16" s="20">
        <v>151.65</v>
      </c>
      <c r="L16" s="28">
        <f t="shared" si="4"/>
        <v>44.110000000000014</v>
      </c>
      <c r="M16" s="21">
        <v>42</v>
      </c>
      <c r="N16" s="49">
        <v>39448</v>
      </c>
      <c r="O16" s="41">
        <f>DATEDIF(N16,F16,"m")</f>
        <v>65</v>
      </c>
      <c r="P16" s="41">
        <f t="shared" si="10"/>
        <v>151.45000000000002</v>
      </c>
      <c r="Q16" s="53">
        <f t="shared" si="0"/>
        <v>151.45000000000002</v>
      </c>
      <c r="R16" s="20">
        <f t="shared" si="6"/>
        <v>109.45000000000002</v>
      </c>
      <c r="S16" s="20">
        <f t="shared" si="7"/>
        <v>70</v>
      </c>
      <c r="T16" s="20">
        <v>12000</v>
      </c>
      <c r="U16" s="30">
        <f t="shared" si="1"/>
        <v>17402.30136986302</v>
      </c>
      <c r="V16" s="32">
        <f t="shared" si="8"/>
        <v>43180.273972602743</v>
      </c>
    </row>
    <row r="17" spans="1:22" ht="25.5" customHeight="1" x14ac:dyDescent="0.15">
      <c r="A17" s="7" t="s">
        <v>32</v>
      </c>
      <c r="B17" s="7" t="s">
        <v>18</v>
      </c>
      <c r="C17" s="7" t="s">
        <v>56</v>
      </c>
      <c r="D17" s="9">
        <v>90</v>
      </c>
      <c r="E17" s="25">
        <v>40238</v>
      </c>
      <c r="F17" s="10">
        <v>41426</v>
      </c>
      <c r="G17" s="11">
        <f t="shared" si="2"/>
        <v>39</v>
      </c>
      <c r="H17" s="20">
        <v>3.01</v>
      </c>
      <c r="I17" s="19">
        <f t="shared" si="3"/>
        <v>90.87</v>
      </c>
      <c r="J17" s="20">
        <v>28</v>
      </c>
      <c r="K17" s="20">
        <v>86.33</v>
      </c>
      <c r="L17" s="28">
        <f t="shared" si="4"/>
        <v>62.870000000000005</v>
      </c>
      <c r="M17" s="21">
        <v>21</v>
      </c>
      <c r="N17" s="47">
        <f t="shared" ref="N17:N18" si="14">E17</f>
        <v>40238</v>
      </c>
      <c r="O17" s="41">
        <f t="shared" ref="O17:O18" si="15">DATEDIF(N17,F17,"m")</f>
        <v>39</v>
      </c>
      <c r="P17" s="41">
        <f t="shared" si="10"/>
        <v>90.87</v>
      </c>
      <c r="Q17" s="53">
        <f t="shared" si="0"/>
        <v>90.87</v>
      </c>
      <c r="R17" s="20">
        <f t="shared" si="6"/>
        <v>69.87</v>
      </c>
      <c r="S17" s="20">
        <f t="shared" si="7"/>
        <v>7</v>
      </c>
      <c r="T17" s="20">
        <v>12000</v>
      </c>
      <c r="U17" s="30">
        <f t="shared" si="1"/>
        <v>24803.506849315068</v>
      </c>
      <c r="V17" s="32">
        <f t="shared" si="8"/>
        <v>27565.150684931508</v>
      </c>
    </row>
    <row r="18" spans="1:22" ht="25.5" customHeight="1" x14ac:dyDescent="0.15">
      <c r="A18" s="7" t="s">
        <v>32</v>
      </c>
      <c r="B18" s="7" t="s">
        <v>18</v>
      </c>
      <c r="C18" s="12" t="s">
        <v>52</v>
      </c>
      <c r="D18" s="9">
        <v>141</v>
      </c>
      <c r="E18" s="25">
        <v>41155</v>
      </c>
      <c r="F18" s="10">
        <v>41426</v>
      </c>
      <c r="G18" s="11">
        <f t="shared" si="2"/>
        <v>8</v>
      </c>
      <c r="H18" s="20">
        <v>0.06</v>
      </c>
      <c r="I18" s="19">
        <f t="shared" si="3"/>
        <v>18.64</v>
      </c>
      <c r="J18" s="20">
        <v>14</v>
      </c>
      <c r="K18" s="20">
        <v>13.98</v>
      </c>
      <c r="L18" s="28">
        <f t="shared" si="4"/>
        <v>4.6400000000000006</v>
      </c>
      <c r="M18" s="21">
        <v>14</v>
      </c>
      <c r="N18" s="47">
        <f t="shared" si="14"/>
        <v>41155</v>
      </c>
      <c r="O18" s="41">
        <f t="shared" si="15"/>
        <v>8</v>
      </c>
      <c r="P18" s="41">
        <f t="shared" si="10"/>
        <v>18.64</v>
      </c>
      <c r="Q18" s="53">
        <f t="shared" si="0"/>
        <v>18.64</v>
      </c>
      <c r="R18" s="20">
        <f t="shared" si="6"/>
        <v>4.6400000000000006</v>
      </c>
      <c r="S18" s="20">
        <f t="shared" si="7"/>
        <v>0</v>
      </c>
      <c r="T18" s="20">
        <v>12000</v>
      </c>
      <c r="U18" s="30">
        <f t="shared" si="1"/>
        <v>1830.5753424657537</v>
      </c>
      <c r="V18" s="32">
        <f t="shared" si="8"/>
        <v>1830.5753424657537</v>
      </c>
    </row>
    <row r="19" spans="1:22" ht="36" customHeight="1" x14ac:dyDescent="0.15">
      <c r="A19" s="7" t="s">
        <v>34</v>
      </c>
      <c r="B19" s="7" t="s">
        <v>21</v>
      </c>
      <c r="C19" s="7" t="s">
        <v>20</v>
      </c>
      <c r="D19" s="9">
        <v>39</v>
      </c>
      <c r="E19" s="25">
        <v>39052</v>
      </c>
      <c r="F19" s="10">
        <v>41426</v>
      </c>
      <c r="G19" s="11">
        <f t="shared" si="2"/>
        <v>78</v>
      </c>
      <c r="H19" s="20">
        <v>6.04</v>
      </c>
      <c r="I19" s="19">
        <f t="shared" si="3"/>
        <v>181.74</v>
      </c>
      <c r="J19" s="20">
        <v>164</v>
      </c>
      <c r="K19" s="20">
        <v>177.32</v>
      </c>
      <c r="L19" s="28">
        <f t="shared" si="4"/>
        <v>17.740000000000009</v>
      </c>
      <c r="M19" s="21">
        <v>118</v>
      </c>
      <c r="N19" s="49">
        <v>39448</v>
      </c>
      <c r="O19" s="41">
        <f>DATEDIF(N19,F19,"m")</f>
        <v>65</v>
      </c>
      <c r="P19" s="41">
        <f t="shared" si="10"/>
        <v>151.45000000000002</v>
      </c>
      <c r="Q19" s="53">
        <f t="shared" si="0"/>
        <v>151.45000000000002</v>
      </c>
      <c r="R19" s="20">
        <f t="shared" si="6"/>
        <v>33.450000000000017</v>
      </c>
      <c r="S19" s="20">
        <f t="shared" si="7"/>
        <v>46</v>
      </c>
      <c r="T19" s="20">
        <v>13000</v>
      </c>
      <c r="U19" s="30">
        <f t="shared" si="1"/>
        <v>7582.0273972602781</v>
      </c>
      <c r="V19" s="32">
        <f t="shared" si="8"/>
        <v>14296.438356164392</v>
      </c>
    </row>
    <row r="20" spans="1:22" ht="25.5" customHeight="1" x14ac:dyDescent="0.15">
      <c r="A20" s="7" t="s">
        <v>30</v>
      </c>
      <c r="B20" s="7" t="s">
        <v>22</v>
      </c>
      <c r="C20" s="7" t="s">
        <v>23</v>
      </c>
      <c r="D20" s="9">
        <v>19</v>
      </c>
      <c r="E20" s="25">
        <v>38166</v>
      </c>
      <c r="F20" s="10">
        <v>41426</v>
      </c>
      <c r="G20" s="11">
        <f t="shared" si="2"/>
        <v>107</v>
      </c>
      <c r="H20" s="20">
        <v>8.09</v>
      </c>
      <c r="I20" s="19">
        <f t="shared" si="3"/>
        <v>249.31</v>
      </c>
      <c r="J20" s="20">
        <v>109</v>
      </c>
      <c r="K20" s="20">
        <v>244.97</v>
      </c>
      <c r="L20" s="28">
        <f t="shared" si="4"/>
        <v>140.31</v>
      </c>
      <c r="M20" s="21">
        <v>70</v>
      </c>
      <c r="N20" s="49">
        <v>39448</v>
      </c>
      <c r="O20" s="41">
        <f>DATEDIF(N20,F20,"m")</f>
        <v>65</v>
      </c>
      <c r="P20" s="41">
        <f t="shared" si="10"/>
        <v>151.45000000000002</v>
      </c>
      <c r="Q20" s="53">
        <f t="shared" si="0"/>
        <v>151.45000000000002</v>
      </c>
      <c r="R20" s="20">
        <f t="shared" si="6"/>
        <v>81.450000000000017</v>
      </c>
      <c r="S20" s="42"/>
      <c r="T20" s="20">
        <v>24000</v>
      </c>
      <c r="U20" s="30">
        <f t="shared" si="1"/>
        <v>110710.35616438356</v>
      </c>
      <c r="V20" s="32">
        <f t="shared" si="8"/>
        <v>64267.397260273981</v>
      </c>
    </row>
    <row r="21" spans="1:22" ht="25.5" customHeight="1" x14ac:dyDescent="0.15">
      <c r="A21" s="7" t="s">
        <v>30</v>
      </c>
      <c r="B21" s="7" t="s">
        <v>24</v>
      </c>
      <c r="C21" s="7" t="s">
        <v>25</v>
      </c>
      <c r="D21" s="9">
        <v>113</v>
      </c>
      <c r="E21" s="25">
        <v>40623</v>
      </c>
      <c r="F21" s="10">
        <v>41426</v>
      </c>
      <c r="G21" s="11">
        <f t="shared" si="2"/>
        <v>26</v>
      </c>
      <c r="H21" s="19">
        <v>2</v>
      </c>
      <c r="I21" s="19">
        <f t="shared" si="3"/>
        <v>60.58</v>
      </c>
      <c r="J21" s="20">
        <v>63</v>
      </c>
      <c r="K21" s="20">
        <v>56</v>
      </c>
      <c r="L21" s="28">
        <f t="shared" si="4"/>
        <v>-2.4200000000000017</v>
      </c>
      <c r="M21" s="21">
        <v>58</v>
      </c>
      <c r="N21" s="47">
        <f t="shared" ref="N21:N22" si="16">E21</f>
        <v>40623</v>
      </c>
      <c r="O21" s="41">
        <f t="shared" ref="O21:O22" si="17">DATEDIF(N21,F21,"m")</f>
        <v>26</v>
      </c>
      <c r="P21" s="41">
        <f t="shared" si="10"/>
        <v>60.58</v>
      </c>
      <c r="Q21" s="53">
        <f t="shared" si="0"/>
        <v>60.58</v>
      </c>
      <c r="R21" s="20">
        <f t="shared" si="6"/>
        <v>2.5799999999999983</v>
      </c>
      <c r="S21" s="20">
        <f t="shared" si="7"/>
        <v>5</v>
      </c>
      <c r="T21" s="20">
        <v>13000</v>
      </c>
      <c r="U21" s="30">
        <f t="shared" si="1"/>
        <v>-1034.3013698630145</v>
      </c>
      <c r="V21" s="32">
        <f t="shared" si="8"/>
        <v>1102.6849315068487</v>
      </c>
    </row>
    <row r="22" spans="1:22" ht="25.5" customHeight="1" x14ac:dyDescent="0.15">
      <c r="A22" s="7" t="s">
        <v>30</v>
      </c>
      <c r="B22" s="7" t="s">
        <v>24</v>
      </c>
      <c r="C22" s="7" t="s">
        <v>57</v>
      </c>
      <c r="D22" s="9">
        <v>154</v>
      </c>
      <c r="E22" s="25">
        <v>41309</v>
      </c>
      <c r="F22" s="10">
        <v>41426</v>
      </c>
      <c r="G22" s="11">
        <f t="shared" si="2"/>
        <v>3</v>
      </c>
      <c r="H22" s="20">
        <v>0.01</v>
      </c>
      <c r="I22" s="19">
        <f t="shared" si="3"/>
        <v>6.99</v>
      </c>
      <c r="J22" s="20">
        <v>1</v>
      </c>
      <c r="K22" s="20">
        <v>0</v>
      </c>
      <c r="L22" s="28">
        <f t="shared" si="4"/>
        <v>5.99</v>
      </c>
      <c r="M22" s="21">
        <v>1</v>
      </c>
      <c r="N22" s="47">
        <f t="shared" si="16"/>
        <v>41309</v>
      </c>
      <c r="O22" s="41">
        <f t="shared" si="17"/>
        <v>3</v>
      </c>
      <c r="P22" s="41">
        <f t="shared" si="10"/>
        <v>6.99</v>
      </c>
      <c r="Q22" s="53">
        <f t="shared" si="0"/>
        <v>6.99</v>
      </c>
      <c r="R22" s="20">
        <f t="shared" si="6"/>
        <v>5.99</v>
      </c>
      <c r="S22" s="20">
        <f t="shared" si="7"/>
        <v>0</v>
      </c>
      <c r="T22" s="20">
        <v>13000</v>
      </c>
      <c r="U22" s="30">
        <f t="shared" si="1"/>
        <v>2560.1095890410961</v>
      </c>
      <c r="V22" s="32">
        <f t="shared" si="8"/>
        <v>2560.1095890410961</v>
      </c>
    </row>
    <row r="23" spans="1:22" ht="25.5" customHeight="1" x14ac:dyDescent="0.15">
      <c r="A23" s="7" t="s">
        <v>30</v>
      </c>
      <c r="B23" s="7" t="s">
        <v>24</v>
      </c>
      <c r="C23" s="7" t="s">
        <v>29</v>
      </c>
      <c r="D23" s="9">
        <v>53</v>
      </c>
      <c r="E23" s="25">
        <v>39419</v>
      </c>
      <c r="F23" s="10">
        <v>41426</v>
      </c>
      <c r="G23" s="11">
        <f t="shared" si="2"/>
        <v>65</v>
      </c>
      <c r="H23" s="20">
        <v>5.03</v>
      </c>
      <c r="I23" s="19">
        <f t="shared" si="3"/>
        <v>151.45000000000002</v>
      </c>
      <c r="J23" s="20">
        <v>143</v>
      </c>
      <c r="K23" s="20">
        <v>146.99</v>
      </c>
      <c r="L23" s="28">
        <f t="shared" si="4"/>
        <v>8.4500000000000171</v>
      </c>
      <c r="M23" s="21">
        <v>117</v>
      </c>
      <c r="N23" s="49">
        <v>39448</v>
      </c>
      <c r="O23" s="41">
        <f>DATEDIF(N23,F23,"m")</f>
        <v>65</v>
      </c>
      <c r="P23" s="41">
        <f>O23*2.33</f>
        <v>151.45000000000002</v>
      </c>
      <c r="Q23" s="53">
        <f t="shared" si="0"/>
        <v>151.45000000000002</v>
      </c>
      <c r="R23" s="20">
        <f t="shared" si="6"/>
        <v>34.450000000000017</v>
      </c>
      <c r="S23" s="42"/>
      <c r="T23" s="20">
        <v>13000</v>
      </c>
      <c r="U23" s="30">
        <f t="shared" si="1"/>
        <v>3611.5068493150761</v>
      </c>
      <c r="V23" s="32">
        <f t="shared" si="8"/>
        <v>14723.835616438364</v>
      </c>
    </row>
    <row r="24" spans="1:22" ht="25.5" customHeight="1" x14ac:dyDescent="0.15">
      <c r="A24" s="7" t="s">
        <v>35</v>
      </c>
      <c r="B24" s="7" t="s">
        <v>127</v>
      </c>
      <c r="C24" s="7" t="s">
        <v>28</v>
      </c>
      <c r="D24" s="9">
        <v>137</v>
      </c>
      <c r="E24" s="25">
        <v>41106</v>
      </c>
      <c r="F24" s="10">
        <v>41426</v>
      </c>
      <c r="G24" s="11">
        <f t="shared" si="2"/>
        <v>10</v>
      </c>
      <c r="H24" s="20">
        <v>0.08</v>
      </c>
      <c r="I24" s="19">
        <f t="shared" si="3"/>
        <v>23.3</v>
      </c>
      <c r="J24" s="20">
        <v>20</v>
      </c>
      <c r="K24" s="20">
        <v>18.64</v>
      </c>
      <c r="L24" s="28">
        <f t="shared" si="4"/>
        <v>3.3000000000000007</v>
      </c>
      <c r="M24" s="20">
        <v>20</v>
      </c>
      <c r="N24" s="47">
        <f t="shared" ref="N24:N29" si="18">E24</f>
        <v>41106</v>
      </c>
      <c r="O24" s="41">
        <f t="shared" ref="O24:O29" si="19">DATEDIF(N24,F24,"m")</f>
        <v>10</v>
      </c>
      <c r="P24" s="41">
        <f t="shared" si="10"/>
        <v>23.3</v>
      </c>
      <c r="Q24" s="53">
        <f t="shared" si="0"/>
        <v>23.3</v>
      </c>
      <c r="R24" s="20">
        <f t="shared" si="6"/>
        <v>3.3000000000000007</v>
      </c>
      <c r="S24" s="20">
        <f t="shared" ref="S24:S47" si="20">J24-M24</f>
        <v>0</v>
      </c>
      <c r="T24" s="20">
        <v>13000</v>
      </c>
      <c r="U24" s="30">
        <f t="shared" si="1"/>
        <v>1410.41095890411</v>
      </c>
      <c r="V24" s="32">
        <f t="shared" si="8"/>
        <v>1410.41095890411</v>
      </c>
    </row>
    <row r="25" spans="1:22" ht="25.5" customHeight="1" x14ac:dyDescent="0.15">
      <c r="A25" s="7" t="s">
        <v>35</v>
      </c>
      <c r="B25" s="7" t="s">
        <v>27</v>
      </c>
      <c r="C25" s="7" t="s">
        <v>36</v>
      </c>
      <c r="D25" s="9">
        <v>114</v>
      </c>
      <c r="E25" s="25">
        <v>40639</v>
      </c>
      <c r="F25" s="10">
        <v>41426</v>
      </c>
      <c r="G25" s="11">
        <f t="shared" si="2"/>
        <v>25</v>
      </c>
      <c r="H25" s="20">
        <v>1.1100000000000001</v>
      </c>
      <c r="I25" s="19">
        <f t="shared" si="3"/>
        <v>58.25</v>
      </c>
      <c r="J25" s="20">
        <v>45</v>
      </c>
      <c r="K25" s="20">
        <v>53.63</v>
      </c>
      <c r="L25" s="28">
        <f t="shared" si="4"/>
        <v>13.25</v>
      </c>
      <c r="M25" s="20">
        <v>43</v>
      </c>
      <c r="N25" s="47">
        <f t="shared" si="18"/>
        <v>40639</v>
      </c>
      <c r="O25" s="41">
        <f t="shared" si="19"/>
        <v>25</v>
      </c>
      <c r="P25" s="41">
        <f>O25*2.33</f>
        <v>58.25</v>
      </c>
      <c r="Q25" s="53">
        <f t="shared" si="0"/>
        <v>58.25</v>
      </c>
      <c r="R25" s="20">
        <f t="shared" si="6"/>
        <v>15.25</v>
      </c>
      <c r="S25" s="20">
        <f t="shared" si="20"/>
        <v>2</v>
      </c>
      <c r="T25" s="20">
        <v>14000</v>
      </c>
      <c r="U25" s="30">
        <f t="shared" si="1"/>
        <v>6098.6301369863013</v>
      </c>
      <c r="V25" s="32">
        <f t="shared" si="8"/>
        <v>7019.178082191781</v>
      </c>
    </row>
    <row r="26" spans="1:22" ht="25.5" customHeight="1" x14ac:dyDescent="0.15">
      <c r="A26" s="13" t="s">
        <v>37</v>
      </c>
      <c r="B26" s="7" t="s">
        <v>38</v>
      </c>
      <c r="C26" s="7" t="s">
        <v>39</v>
      </c>
      <c r="D26" s="9">
        <v>13</v>
      </c>
      <c r="E26" s="25">
        <v>40269</v>
      </c>
      <c r="F26" s="10">
        <v>41426</v>
      </c>
      <c r="G26" s="11">
        <f t="shared" si="2"/>
        <v>38</v>
      </c>
      <c r="H26" s="19">
        <v>3</v>
      </c>
      <c r="I26" s="19">
        <f t="shared" si="3"/>
        <v>88.54</v>
      </c>
      <c r="J26" s="20">
        <v>42</v>
      </c>
      <c r="K26" s="20">
        <v>84</v>
      </c>
      <c r="L26" s="28">
        <f t="shared" si="4"/>
        <v>46.540000000000006</v>
      </c>
      <c r="M26" s="20">
        <v>102</v>
      </c>
      <c r="N26" s="47">
        <f t="shared" si="18"/>
        <v>40269</v>
      </c>
      <c r="O26" s="41">
        <f t="shared" si="19"/>
        <v>38</v>
      </c>
      <c r="P26" s="41">
        <f t="shared" si="10"/>
        <v>88.54</v>
      </c>
      <c r="Q26" s="53">
        <f t="shared" si="0"/>
        <v>88.54</v>
      </c>
      <c r="R26" s="20">
        <f t="shared" si="6"/>
        <v>-13.459999999999994</v>
      </c>
      <c r="S26" s="20">
        <f t="shared" si="20"/>
        <v>-60</v>
      </c>
      <c r="T26" s="20">
        <v>12000</v>
      </c>
      <c r="U26" s="30">
        <f t="shared" si="1"/>
        <v>18360.986301369863</v>
      </c>
      <c r="V26" s="32">
        <f t="shared" si="8"/>
        <v>-5310.2465753424631</v>
      </c>
    </row>
    <row r="27" spans="1:22" ht="25.5" customHeight="1" x14ac:dyDescent="0.15">
      <c r="A27" s="13" t="s">
        <v>37</v>
      </c>
      <c r="B27" s="7" t="s">
        <v>121</v>
      </c>
      <c r="C27" s="7" t="s">
        <v>40</v>
      </c>
      <c r="D27" s="9">
        <v>93</v>
      </c>
      <c r="E27" s="25">
        <v>40269</v>
      </c>
      <c r="F27" s="10">
        <v>41426</v>
      </c>
      <c r="G27" s="11">
        <f t="shared" si="2"/>
        <v>38</v>
      </c>
      <c r="H27" s="19">
        <v>3</v>
      </c>
      <c r="I27" s="19">
        <f t="shared" si="3"/>
        <v>88.54</v>
      </c>
      <c r="J27" s="20">
        <v>72</v>
      </c>
      <c r="K27" s="20">
        <v>84</v>
      </c>
      <c r="L27" s="28">
        <f t="shared" si="4"/>
        <v>16.540000000000006</v>
      </c>
      <c r="M27" s="20">
        <v>73</v>
      </c>
      <c r="N27" s="47">
        <f t="shared" si="18"/>
        <v>40269</v>
      </c>
      <c r="O27" s="41">
        <f t="shared" si="19"/>
        <v>38</v>
      </c>
      <c r="P27" s="41">
        <f t="shared" si="10"/>
        <v>88.54</v>
      </c>
      <c r="Q27" s="53">
        <f t="shared" si="0"/>
        <v>88.54</v>
      </c>
      <c r="R27" s="20">
        <f t="shared" si="6"/>
        <v>15.540000000000006</v>
      </c>
      <c r="S27" s="20">
        <f t="shared" si="20"/>
        <v>-1</v>
      </c>
      <c r="T27" s="20">
        <v>13000</v>
      </c>
      <c r="U27" s="30">
        <f t="shared" si="1"/>
        <v>7069.1506849315101</v>
      </c>
      <c r="V27" s="32">
        <f t="shared" si="8"/>
        <v>6641.7534246575369</v>
      </c>
    </row>
    <row r="28" spans="1:22" ht="25.5" customHeight="1" x14ac:dyDescent="0.15">
      <c r="A28" s="13" t="s">
        <v>37</v>
      </c>
      <c r="B28" s="7" t="s">
        <v>121</v>
      </c>
      <c r="C28" s="7" t="s">
        <v>41</v>
      </c>
      <c r="D28" s="9">
        <v>116</v>
      </c>
      <c r="E28" s="25">
        <v>40695</v>
      </c>
      <c r="F28" s="10">
        <v>41426</v>
      </c>
      <c r="G28" s="11">
        <f t="shared" si="2"/>
        <v>24</v>
      </c>
      <c r="H28" s="19">
        <v>1.1000000000000001</v>
      </c>
      <c r="I28" s="19">
        <f t="shared" si="3"/>
        <v>55.92</v>
      </c>
      <c r="J28" s="20">
        <v>28</v>
      </c>
      <c r="K28" s="20">
        <v>51.3</v>
      </c>
      <c r="L28" s="28">
        <f t="shared" si="4"/>
        <v>27.92</v>
      </c>
      <c r="M28" s="20">
        <v>29</v>
      </c>
      <c r="N28" s="47">
        <f t="shared" si="18"/>
        <v>40695</v>
      </c>
      <c r="O28" s="41">
        <f t="shared" si="19"/>
        <v>24</v>
      </c>
      <c r="P28" s="41">
        <f t="shared" si="10"/>
        <v>55.92</v>
      </c>
      <c r="Q28" s="53">
        <f t="shared" si="0"/>
        <v>55.92</v>
      </c>
      <c r="R28" s="20">
        <f t="shared" si="6"/>
        <v>26.92</v>
      </c>
      <c r="S28" s="20">
        <f t="shared" si="20"/>
        <v>-1</v>
      </c>
      <c r="T28" s="20">
        <v>13000</v>
      </c>
      <c r="U28" s="30">
        <f t="shared" si="1"/>
        <v>11932.931506849316</v>
      </c>
      <c r="V28" s="32">
        <f t="shared" si="8"/>
        <v>11505.534246575344</v>
      </c>
    </row>
    <row r="29" spans="1:22" ht="25.5" customHeight="1" x14ac:dyDescent="0.15">
      <c r="A29" s="13" t="s">
        <v>37</v>
      </c>
      <c r="B29" s="7" t="s">
        <v>11</v>
      </c>
      <c r="C29" s="7" t="s">
        <v>42</v>
      </c>
      <c r="D29" s="9">
        <v>143</v>
      </c>
      <c r="E29" s="25">
        <v>41157</v>
      </c>
      <c r="F29" s="10">
        <v>41426</v>
      </c>
      <c r="G29" s="11">
        <f t="shared" si="2"/>
        <v>8</v>
      </c>
      <c r="H29" s="20">
        <v>0.06</v>
      </c>
      <c r="I29" s="19">
        <f t="shared" si="3"/>
        <v>18.64</v>
      </c>
      <c r="J29" s="20">
        <v>5</v>
      </c>
      <c r="K29" s="20">
        <v>13.98</v>
      </c>
      <c r="L29" s="28">
        <f t="shared" si="4"/>
        <v>13.64</v>
      </c>
      <c r="M29" s="20">
        <v>5</v>
      </c>
      <c r="N29" s="47">
        <f t="shared" si="18"/>
        <v>41157</v>
      </c>
      <c r="O29" s="41">
        <f t="shared" si="19"/>
        <v>8</v>
      </c>
      <c r="P29" s="41">
        <f t="shared" si="10"/>
        <v>18.64</v>
      </c>
      <c r="Q29" s="53">
        <f t="shared" si="0"/>
        <v>18.64</v>
      </c>
      <c r="R29" s="20">
        <f t="shared" si="6"/>
        <v>13.64</v>
      </c>
      <c r="S29" s="20">
        <f t="shared" si="20"/>
        <v>0</v>
      </c>
      <c r="T29" s="20">
        <v>13000</v>
      </c>
      <c r="U29" s="30">
        <f t="shared" si="1"/>
        <v>5829.698630136987</v>
      </c>
      <c r="V29" s="32">
        <f t="shared" si="8"/>
        <v>5829.698630136987</v>
      </c>
    </row>
    <row r="30" spans="1:22" ht="25.5" customHeight="1" x14ac:dyDescent="0.15">
      <c r="A30" s="13" t="s">
        <v>37</v>
      </c>
      <c r="B30" s="7" t="s">
        <v>13</v>
      </c>
      <c r="C30" s="7" t="s">
        <v>43</v>
      </c>
      <c r="D30" s="9">
        <v>25</v>
      </c>
      <c r="E30" s="25">
        <v>38534</v>
      </c>
      <c r="F30" s="10">
        <v>41426</v>
      </c>
      <c r="G30" s="11">
        <f t="shared" si="2"/>
        <v>95</v>
      </c>
      <c r="H30" s="20">
        <v>7.09</v>
      </c>
      <c r="I30" s="19">
        <f t="shared" si="3"/>
        <v>221.35</v>
      </c>
      <c r="J30" s="20">
        <v>180</v>
      </c>
      <c r="K30" s="20">
        <v>216.97</v>
      </c>
      <c r="L30" s="28">
        <f t="shared" si="4"/>
        <v>41.349999999999994</v>
      </c>
      <c r="M30" s="20">
        <v>183</v>
      </c>
      <c r="N30" s="49">
        <v>39448</v>
      </c>
      <c r="O30" s="41">
        <f>DATEDIF(N30,F30,"m")</f>
        <v>65</v>
      </c>
      <c r="P30" s="41">
        <f>O30*2.33</f>
        <v>151.45000000000002</v>
      </c>
      <c r="Q30" s="53">
        <f t="shared" si="0"/>
        <v>151.45000000000002</v>
      </c>
      <c r="R30" s="20">
        <f t="shared" si="6"/>
        <v>-31.549999999999983</v>
      </c>
      <c r="S30" s="20">
        <f t="shared" si="20"/>
        <v>-3</v>
      </c>
      <c r="T30" s="20">
        <v>18000</v>
      </c>
      <c r="U30" s="30">
        <f t="shared" si="1"/>
        <v>24470.136986301368</v>
      </c>
      <c r="V30" s="32">
        <f t="shared" si="8"/>
        <v>-18670.684931506839</v>
      </c>
    </row>
    <row r="31" spans="1:22" ht="25.5" customHeight="1" x14ac:dyDescent="0.15">
      <c r="A31" s="13" t="s">
        <v>37</v>
      </c>
      <c r="B31" s="7" t="s">
        <v>121</v>
      </c>
      <c r="C31" s="7" t="s">
        <v>44</v>
      </c>
      <c r="D31" s="9">
        <v>117</v>
      </c>
      <c r="E31" s="25">
        <v>40695</v>
      </c>
      <c r="F31" s="10">
        <v>41426</v>
      </c>
      <c r="G31" s="11">
        <f t="shared" si="2"/>
        <v>24</v>
      </c>
      <c r="H31" s="19">
        <v>1.1000000000000001</v>
      </c>
      <c r="I31" s="19">
        <f t="shared" si="3"/>
        <v>55.92</v>
      </c>
      <c r="J31" s="20">
        <v>39</v>
      </c>
      <c r="K31" s="20">
        <v>51.3</v>
      </c>
      <c r="L31" s="28">
        <f t="shared" si="4"/>
        <v>16.920000000000002</v>
      </c>
      <c r="M31" s="20">
        <v>39</v>
      </c>
      <c r="N31" s="47">
        <f t="shared" ref="N31:N37" si="21">E31</f>
        <v>40695</v>
      </c>
      <c r="O31" s="41">
        <f t="shared" ref="O31:O37" si="22">DATEDIF(N31,F31,"m")</f>
        <v>24</v>
      </c>
      <c r="P31" s="41">
        <f t="shared" si="10"/>
        <v>55.92</v>
      </c>
      <c r="Q31" s="53">
        <f t="shared" si="0"/>
        <v>55.92</v>
      </c>
      <c r="R31" s="20">
        <f t="shared" si="6"/>
        <v>16.920000000000002</v>
      </c>
      <c r="S31" s="20">
        <f t="shared" si="20"/>
        <v>0</v>
      </c>
      <c r="T31" s="20">
        <v>13000</v>
      </c>
      <c r="U31" s="30">
        <f t="shared" si="1"/>
        <v>7231.5616438356174</v>
      </c>
      <c r="V31" s="32">
        <f t="shared" si="8"/>
        <v>7231.5616438356174</v>
      </c>
    </row>
    <row r="32" spans="1:22" ht="25.5" customHeight="1" x14ac:dyDescent="0.15">
      <c r="A32" s="13" t="s">
        <v>37</v>
      </c>
      <c r="B32" s="7" t="s">
        <v>11</v>
      </c>
      <c r="C32" s="13" t="s">
        <v>49</v>
      </c>
      <c r="D32" s="9">
        <v>149</v>
      </c>
      <c r="E32" s="25">
        <v>41260</v>
      </c>
      <c r="F32" s="10">
        <v>41426</v>
      </c>
      <c r="G32" s="11">
        <f t="shared" si="2"/>
        <v>5</v>
      </c>
      <c r="H32" s="20">
        <v>0.03</v>
      </c>
      <c r="I32" s="19">
        <f t="shared" si="3"/>
        <v>11.65</v>
      </c>
      <c r="J32" s="20">
        <v>0</v>
      </c>
      <c r="K32" s="20">
        <v>6.99</v>
      </c>
      <c r="L32" s="28">
        <f t="shared" si="4"/>
        <v>11.65</v>
      </c>
      <c r="M32" s="20">
        <v>9</v>
      </c>
      <c r="N32" s="47">
        <f t="shared" si="21"/>
        <v>41260</v>
      </c>
      <c r="O32" s="41">
        <f t="shared" si="22"/>
        <v>5</v>
      </c>
      <c r="P32" s="41">
        <f t="shared" si="10"/>
        <v>11.65</v>
      </c>
      <c r="Q32" s="53">
        <f t="shared" si="0"/>
        <v>11.65</v>
      </c>
      <c r="R32" s="20">
        <f t="shared" si="6"/>
        <v>2.6500000000000004</v>
      </c>
      <c r="S32" s="20">
        <f t="shared" si="20"/>
        <v>-9</v>
      </c>
      <c r="T32" s="20">
        <v>13000</v>
      </c>
      <c r="U32" s="30">
        <f t="shared" si="1"/>
        <v>4979.178082191781</v>
      </c>
      <c r="V32" s="32">
        <f t="shared" si="8"/>
        <v>1132.6027397260275</v>
      </c>
    </row>
    <row r="33" spans="1:22" ht="25.5" customHeight="1" x14ac:dyDescent="0.15">
      <c r="A33" s="13" t="s">
        <v>37</v>
      </c>
      <c r="B33" s="7" t="s">
        <v>122</v>
      </c>
      <c r="C33" s="13" t="s">
        <v>50</v>
      </c>
      <c r="D33" s="9">
        <v>153</v>
      </c>
      <c r="E33" s="25">
        <v>41306</v>
      </c>
      <c r="F33" s="10">
        <v>41426</v>
      </c>
      <c r="G33" s="11">
        <f t="shared" si="2"/>
        <v>4</v>
      </c>
      <c r="H33" s="20">
        <v>0.02</v>
      </c>
      <c r="I33" s="19">
        <f t="shared" si="3"/>
        <v>9.32</v>
      </c>
      <c r="J33" s="20">
        <v>0</v>
      </c>
      <c r="K33" s="20">
        <v>4.66</v>
      </c>
      <c r="L33" s="28">
        <f t="shared" si="4"/>
        <v>9.32</v>
      </c>
      <c r="M33" s="20">
        <v>0</v>
      </c>
      <c r="N33" s="47">
        <f t="shared" si="21"/>
        <v>41306</v>
      </c>
      <c r="O33" s="41">
        <f t="shared" si="22"/>
        <v>4</v>
      </c>
      <c r="P33" s="41">
        <f t="shared" si="10"/>
        <v>9.32</v>
      </c>
      <c r="Q33" s="53">
        <f t="shared" si="0"/>
        <v>9.32</v>
      </c>
      <c r="R33" s="20">
        <f t="shared" si="6"/>
        <v>9.32</v>
      </c>
      <c r="S33" s="20">
        <f t="shared" si="20"/>
        <v>0</v>
      </c>
      <c r="T33" s="20">
        <v>13000</v>
      </c>
      <c r="U33" s="30">
        <f t="shared" si="1"/>
        <v>3983.3424657534251</v>
      </c>
      <c r="V33" s="32">
        <f t="shared" si="8"/>
        <v>3983.3424657534251</v>
      </c>
    </row>
    <row r="34" spans="1:22" ht="25.5" customHeight="1" x14ac:dyDescent="0.15">
      <c r="A34" s="13" t="s">
        <v>37</v>
      </c>
      <c r="B34" s="7" t="s">
        <v>122</v>
      </c>
      <c r="C34" s="14" t="s">
        <v>51</v>
      </c>
      <c r="D34" s="9">
        <v>152</v>
      </c>
      <c r="E34" s="25">
        <v>41288</v>
      </c>
      <c r="F34" s="10">
        <v>41426</v>
      </c>
      <c r="G34" s="11">
        <f t="shared" si="2"/>
        <v>4</v>
      </c>
      <c r="H34" s="20">
        <v>0.02</v>
      </c>
      <c r="I34" s="19">
        <f t="shared" si="3"/>
        <v>9.32</v>
      </c>
      <c r="J34" s="20">
        <v>0</v>
      </c>
      <c r="K34" s="20">
        <v>4.66</v>
      </c>
      <c r="L34" s="28">
        <f t="shared" si="4"/>
        <v>9.32</v>
      </c>
      <c r="M34" s="20">
        <v>0</v>
      </c>
      <c r="N34" s="47">
        <f t="shared" si="21"/>
        <v>41288</v>
      </c>
      <c r="O34" s="41">
        <f t="shared" si="22"/>
        <v>4</v>
      </c>
      <c r="P34" s="41">
        <f t="shared" si="10"/>
        <v>9.32</v>
      </c>
      <c r="Q34" s="53">
        <f t="shared" si="0"/>
        <v>9.32</v>
      </c>
      <c r="R34" s="20">
        <f t="shared" si="6"/>
        <v>9.32</v>
      </c>
      <c r="S34" s="20">
        <f t="shared" si="20"/>
        <v>0</v>
      </c>
      <c r="T34" s="20">
        <v>13000</v>
      </c>
      <c r="U34" s="30">
        <f t="shared" si="1"/>
        <v>3983.3424657534251</v>
      </c>
      <c r="V34" s="32">
        <f t="shared" si="8"/>
        <v>3983.3424657534251</v>
      </c>
    </row>
    <row r="35" spans="1:22" ht="25.5" customHeight="1" x14ac:dyDescent="0.15">
      <c r="A35" s="7" t="s">
        <v>59</v>
      </c>
      <c r="B35" s="7" t="s">
        <v>38</v>
      </c>
      <c r="C35" s="15" t="s">
        <v>58</v>
      </c>
      <c r="D35" s="16">
        <v>122</v>
      </c>
      <c r="E35" s="25">
        <v>40787</v>
      </c>
      <c r="F35" s="10">
        <v>41426</v>
      </c>
      <c r="G35" s="11">
        <f t="shared" si="2"/>
        <v>21</v>
      </c>
      <c r="H35" s="20">
        <v>1.07</v>
      </c>
      <c r="I35" s="19">
        <f t="shared" si="3"/>
        <v>48.93</v>
      </c>
      <c r="J35" s="20">
        <v>62</v>
      </c>
      <c r="K35" s="20">
        <v>44.31</v>
      </c>
      <c r="L35" s="28">
        <f t="shared" si="4"/>
        <v>-13.07</v>
      </c>
      <c r="M35" s="20">
        <v>61</v>
      </c>
      <c r="N35" s="47">
        <f t="shared" si="21"/>
        <v>40787</v>
      </c>
      <c r="O35" s="41">
        <f t="shared" si="22"/>
        <v>21</v>
      </c>
      <c r="P35" s="41">
        <f t="shared" si="10"/>
        <v>48.93</v>
      </c>
      <c r="Q35" s="53">
        <f t="shared" si="0"/>
        <v>48.93</v>
      </c>
      <c r="R35" s="20">
        <f t="shared" si="6"/>
        <v>-12.07</v>
      </c>
      <c r="S35" s="20">
        <f t="shared" si="20"/>
        <v>1</v>
      </c>
      <c r="T35" s="20">
        <v>12000</v>
      </c>
      <c r="U35" s="30">
        <f t="shared" si="1"/>
        <v>-5156.3835616438355</v>
      </c>
      <c r="V35" s="32">
        <f t="shared" si="8"/>
        <v>-4761.8630136986303</v>
      </c>
    </row>
    <row r="36" spans="1:22" ht="25.5" customHeight="1" x14ac:dyDescent="0.15">
      <c r="A36" s="7" t="s">
        <v>59</v>
      </c>
      <c r="B36" s="7" t="s">
        <v>11</v>
      </c>
      <c r="C36" s="7" t="s">
        <v>60</v>
      </c>
      <c r="D36" s="9">
        <v>84</v>
      </c>
      <c r="E36" s="25">
        <v>40136</v>
      </c>
      <c r="F36" s="10">
        <v>41426</v>
      </c>
      <c r="G36" s="11">
        <f t="shared" si="2"/>
        <v>42</v>
      </c>
      <c r="H36" s="20">
        <v>3.04</v>
      </c>
      <c r="I36" s="19">
        <f t="shared" si="3"/>
        <v>97.86</v>
      </c>
      <c r="J36" s="20">
        <v>58</v>
      </c>
      <c r="K36" s="20">
        <v>93.32</v>
      </c>
      <c r="L36" s="28">
        <f t="shared" si="4"/>
        <v>39.86</v>
      </c>
      <c r="M36" s="20">
        <v>94</v>
      </c>
      <c r="N36" s="47">
        <f t="shared" si="21"/>
        <v>40136</v>
      </c>
      <c r="O36" s="41">
        <f t="shared" si="22"/>
        <v>42</v>
      </c>
      <c r="P36" s="41">
        <f t="shared" si="10"/>
        <v>97.86</v>
      </c>
      <c r="Q36" s="53">
        <f t="shared" si="0"/>
        <v>97.86</v>
      </c>
      <c r="R36" s="20">
        <f t="shared" si="6"/>
        <v>3.8599999999999994</v>
      </c>
      <c r="S36" s="20">
        <f t="shared" si="20"/>
        <v>-36</v>
      </c>
      <c r="T36" s="20">
        <v>13000</v>
      </c>
      <c r="U36" s="30">
        <f t="shared" si="1"/>
        <v>17036.054794520547</v>
      </c>
      <c r="V36" s="32">
        <f t="shared" si="8"/>
        <v>1649.753424657534</v>
      </c>
    </row>
    <row r="37" spans="1:22" ht="25.5" customHeight="1" x14ac:dyDescent="0.15">
      <c r="A37" s="7" t="s">
        <v>59</v>
      </c>
      <c r="B37" s="7" t="s">
        <v>13</v>
      </c>
      <c r="C37" s="7" t="s">
        <v>61</v>
      </c>
      <c r="D37" s="9">
        <v>82</v>
      </c>
      <c r="E37" s="25">
        <v>40119</v>
      </c>
      <c r="F37" s="10">
        <v>41426</v>
      </c>
      <c r="G37" s="11">
        <f t="shared" si="2"/>
        <v>42</v>
      </c>
      <c r="H37" s="20">
        <v>3.05</v>
      </c>
      <c r="I37" s="19">
        <f t="shared" si="3"/>
        <v>97.86</v>
      </c>
      <c r="J37" s="20">
        <v>66</v>
      </c>
      <c r="K37" s="20">
        <v>95.65</v>
      </c>
      <c r="L37" s="28">
        <f t="shared" si="4"/>
        <v>31.86</v>
      </c>
      <c r="M37" s="20">
        <v>91</v>
      </c>
      <c r="N37" s="47">
        <f t="shared" si="21"/>
        <v>40119</v>
      </c>
      <c r="O37" s="41">
        <f t="shared" si="22"/>
        <v>42</v>
      </c>
      <c r="P37" s="41">
        <f t="shared" si="10"/>
        <v>97.86</v>
      </c>
      <c r="Q37" s="53">
        <f t="shared" si="0"/>
        <v>97.86</v>
      </c>
      <c r="R37" s="20">
        <f t="shared" si="6"/>
        <v>6.8599999999999994</v>
      </c>
      <c r="S37" s="20">
        <f t="shared" si="20"/>
        <v>-25</v>
      </c>
      <c r="T37" s="20">
        <v>18000</v>
      </c>
      <c r="U37" s="30">
        <f t="shared" si="1"/>
        <v>18854.136986301372</v>
      </c>
      <c r="V37" s="32">
        <f t="shared" si="8"/>
        <v>4059.6164383561641</v>
      </c>
    </row>
    <row r="38" spans="1:22" ht="25.5" customHeight="1" x14ac:dyDescent="0.15">
      <c r="A38" s="7" t="s">
        <v>59</v>
      </c>
      <c r="B38" s="7" t="s">
        <v>27</v>
      </c>
      <c r="C38" s="7" t="s">
        <v>62</v>
      </c>
      <c r="D38" s="9">
        <v>18</v>
      </c>
      <c r="E38" s="25">
        <v>38215</v>
      </c>
      <c r="F38" s="10">
        <v>41426</v>
      </c>
      <c r="G38" s="11">
        <f t="shared" si="2"/>
        <v>105</v>
      </c>
      <c r="H38" s="20">
        <v>8.07</v>
      </c>
      <c r="I38" s="19">
        <f t="shared" si="3"/>
        <v>244.65</v>
      </c>
      <c r="J38" s="20">
        <v>202</v>
      </c>
      <c r="K38" s="20">
        <v>240.31</v>
      </c>
      <c r="L38" s="28">
        <f t="shared" si="4"/>
        <v>42.650000000000006</v>
      </c>
      <c r="M38" s="20">
        <v>140</v>
      </c>
      <c r="N38" s="49">
        <v>39448</v>
      </c>
      <c r="O38" s="41">
        <f>DATEDIF(N38,F38,"m")</f>
        <v>65</v>
      </c>
      <c r="P38" s="41">
        <f t="shared" si="10"/>
        <v>151.45000000000002</v>
      </c>
      <c r="Q38" s="53">
        <f t="shared" si="0"/>
        <v>151.45000000000002</v>
      </c>
      <c r="R38" s="20">
        <f t="shared" si="6"/>
        <v>11.450000000000017</v>
      </c>
      <c r="S38" s="20">
        <f t="shared" si="20"/>
        <v>62</v>
      </c>
      <c r="T38" s="20">
        <v>14000</v>
      </c>
      <c r="U38" s="30">
        <f t="shared" si="1"/>
        <v>19630.68493150685</v>
      </c>
      <c r="V38" s="32">
        <f t="shared" si="8"/>
        <v>5270.1369863013779</v>
      </c>
    </row>
    <row r="39" spans="1:22" ht="25.5" customHeight="1" x14ac:dyDescent="0.15">
      <c r="A39" s="7" t="s">
        <v>59</v>
      </c>
      <c r="B39" s="7" t="s">
        <v>11</v>
      </c>
      <c r="C39" s="7" t="s">
        <v>63</v>
      </c>
      <c r="D39" s="9">
        <v>104</v>
      </c>
      <c r="E39" s="25">
        <v>40469</v>
      </c>
      <c r="F39" s="10">
        <v>41426</v>
      </c>
      <c r="G39" s="11">
        <f t="shared" si="2"/>
        <v>31</v>
      </c>
      <c r="H39" s="20">
        <v>2.0499999999999998</v>
      </c>
      <c r="I39" s="19">
        <f t="shared" si="3"/>
        <v>72.23</v>
      </c>
      <c r="J39" s="20">
        <v>56</v>
      </c>
      <c r="K39" s="20">
        <v>67.650000000000006</v>
      </c>
      <c r="L39" s="28">
        <f t="shared" si="4"/>
        <v>16.230000000000004</v>
      </c>
      <c r="M39" s="20">
        <v>56</v>
      </c>
      <c r="N39" s="47">
        <f t="shared" ref="N39:N40" si="23">E39</f>
        <v>40469</v>
      </c>
      <c r="O39" s="41">
        <f t="shared" ref="O39:O40" si="24">DATEDIF(N39,F39,"m")</f>
        <v>31</v>
      </c>
      <c r="P39" s="41">
        <f t="shared" si="10"/>
        <v>72.23</v>
      </c>
      <c r="Q39" s="53">
        <f t="shared" si="0"/>
        <v>72.23</v>
      </c>
      <c r="R39" s="20">
        <f t="shared" si="6"/>
        <v>16.230000000000004</v>
      </c>
      <c r="S39" s="20">
        <f t="shared" si="20"/>
        <v>0</v>
      </c>
      <c r="T39" s="20">
        <v>13000</v>
      </c>
      <c r="U39" s="30">
        <f t="shared" si="1"/>
        <v>6936.6575342465776</v>
      </c>
      <c r="V39" s="32">
        <f t="shared" si="8"/>
        <v>6936.6575342465776</v>
      </c>
    </row>
    <row r="40" spans="1:22" ht="25.5" customHeight="1" x14ac:dyDescent="0.15">
      <c r="A40" s="7" t="s">
        <v>59</v>
      </c>
      <c r="B40" s="7" t="s">
        <v>122</v>
      </c>
      <c r="C40" s="7" t="s">
        <v>64</v>
      </c>
      <c r="D40" s="9">
        <v>150</v>
      </c>
      <c r="E40" s="25">
        <v>41283</v>
      </c>
      <c r="F40" s="10">
        <v>41426</v>
      </c>
      <c r="G40" s="11">
        <f t="shared" si="2"/>
        <v>4</v>
      </c>
      <c r="H40" s="20">
        <v>0.02</v>
      </c>
      <c r="I40" s="19">
        <f t="shared" si="3"/>
        <v>9.32</v>
      </c>
      <c r="J40" s="20">
        <v>1</v>
      </c>
      <c r="K40" s="20">
        <v>4.66</v>
      </c>
      <c r="L40" s="28">
        <f t="shared" si="4"/>
        <v>8.32</v>
      </c>
      <c r="M40" s="20">
        <v>1</v>
      </c>
      <c r="N40" s="47">
        <f t="shared" si="23"/>
        <v>41283</v>
      </c>
      <c r="O40" s="41">
        <f t="shared" si="24"/>
        <v>4</v>
      </c>
      <c r="P40" s="41">
        <f>O40*2.33</f>
        <v>9.32</v>
      </c>
      <c r="Q40" s="53">
        <f t="shared" si="0"/>
        <v>9.32</v>
      </c>
      <c r="R40" s="20">
        <f t="shared" si="6"/>
        <v>8.32</v>
      </c>
      <c r="S40" s="20">
        <f t="shared" si="20"/>
        <v>0</v>
      </c>
      <c r="T40" s="20">
        <v>13000</v>
      </c>
      <c r="U40" s="30">
        <f t="shared" si="1"/>
        <v>3555.9452054794524</v>
      </c>
      <c r="V40" s="32">
        <f t="shared" si="8"/>
        <v>3555.9452054794524</v>
      </c>
    </row>
    <row r="41" spans="1:22" ht="25.5" customHeight="1" x14ac:dyDescent="0.15">
      <c r="A41" s="7" t="s">
        <v>65</v>
      </c>
      <c r="B41" s="7" t="s">
        <v>66</v>
      </c>
      <c r="C41" s="7" t="s">
        <v>67</v>
      </c>
      <c r="D41" s="9">
        <v>31</v>
      </c>
      <c r="E41" s="25">
        <v>38727</v>
      </c>
      <c r="F41" s="10">
        <v>41426</v>
      </c>
      <c r="G41" s="11">
        <f t="shared" si="2"/>
        <v>88</v>
      </c>
      <c r="H41" s="20">
        <v>7.02</v>
      </c>
      <c r="I41" s="19">
        <f t="shared" si="3"/>
        <v>205.04000000000002</v>
      </c>
      <c r="J41" s="20">
        <v>176</v>
      </c>
      <c r="K41" s="20">
        <v>200.66</v>
      </c>
      <c r="L41" s="28">
        <f t="shared" si="4"/>
        <v>29.04000000000002</v>
      </c>
      <c r="M41" s="20">
        <v>123</v>
      </c>
      <c r="N41" s="49">
        <v>39448</v>
      </c>
      <c r="O41" s="41">
        <f>DATEDIF(N41,F41,"m")</f>
        <v>65</v>
      </c>
      <c r="P41" s="41">
        <f t="shared" si="10"/>
        <v>151.45000000000002</v>
      </c>
      <c r="Q41" s="53">
        <f t="shared" si="0"/>
        <v>151.45000000000002</v>
      </c>
      <c r="R41" s="20">
        <f t="shared" si="6"/>
        <v>28.450000000000017</v>
      </c>
      <c r="S41" s="20">
        <f t="shared" si="20"/>
        <v>53</v>
      </c>
      <c r="T41" s="20">
        <v>18000</v>
      </c>
      <c r="U41" s="30">
        <f t="shared" si="1"/>
        <v>17185.315068493164</v>
      </c>
      <c r="V41" s="32">
        <f t="shared" si="8"/>
        <v>16836.164383561652</v>
      </c>
    </row>
    <row r="42" spans="1:22" ht="25.5" customHeight="1" x14ac:dyDescent="0.15">
      <c r="A42" s="7" t="s">
        <v>65</v>
      </c>
      <c r="B42" s="7" t="s">
        <v>68</v>
      </c>
      <c r="C42" s="7" t="s">
        <v>69</v>
      </c>
      <c r="D42" s="9">
        <v>127</v>
      </c>
      <c r="E42" s="25">
        <v>40918</v>
      </c>
      <c r="F42" s="10">
        <v>41426</v>
      </c>
      <c r="G42" s="11">
        <f t="shared" si="2"/>
        <v>16</v>
      </c>
      <c r="H42" s="20">
        <v>1.02</v>
      </c>
      <c r="I42" s="19">
        <f t="shared" si="3"/>
        <v>37.28</v>
      </c>
      <c r="J42" s="20">
        <v>27</v>
      </c>
      <c r="K42" s="20">
        <v>32.659999999999997</v>
      </c>
      <c r="L42" s="28">
        <f t="shared" si="4"/>
        <v>10.280000000000001</v>
      </c>
      <c r="M42" s="20">
        <v>25</v>
      </c>
      <c r="N42" s="47">
        <f t="shared" ref="N42" si="25">E42</f>
        <v>40918</v>
      </c>
      <c r="O42" s="41">
        <f t="shared" ref="O42" si="26">DATEDIF(N42,F42,"m")</f>
        <v>16</v>
      </c>
      <c r="P42" s="41">
        <f t="shared" si="10"/>
        <v>37.28</v>
      </c>
      <c r="Q42" s="53">
        <f t="shared" si="0"/>
        <v>37.28</v>
      </c>
      <c r="R42" s="20">
        <f t="shared" si="6"/>
        <v>12.280000000000001</v>
      </c>
      <c r="S42" s="20">
        <f t="shared" si="20"/>
        <v>2</v>
      </c>
      <c r="T42" s="20">
        <v>12000</v>
      </c>
      <c r="U42" s="30">
        <f t="shared" si="1"/>
        <v>4055.6712328767126</v>
      </c>
      <c r="V42" s="32">
        <f t="shared" si="8"/>
        <v>4844.7123287671238</v>
      </c>
    </row>
    <row r="43" spans="1:22" ht="25.5" customHeight="1" x14ac:dyDescent="0.15">
      <c r="A43" s="7" t="s">
        <v>65</v>
      </c>
      <c r="B43" s="7" t="s">
        <v>68</v>
      </c>
      <c r="C43" s="7" t="s">
        <v>70</v>
      </c>
      <c r="D43" s="9">
        <v>58</v>
      </c>
      <c r="E43" s="25">
        <v>39479</v>
      </c>
      <c r="F43" s="10">
        <v>41426</v>
      </c>
      <c r="G43" s="11">
        <f t="shared" si="2"/>
        <v>64</v>
      </c>
      <c r="H43" s="20">
        <v>5.0199999999999996</v>
      </c>
      <c r="I43" s="19">
        <f t="shared" si="3"/>
        <v>149.12</v>
      </c>
      <c r="J43" s="20">
        <v>143</v>
      </c>
      <c r="K43" s="20">
        <v>144.66</v>
      </c>
      <c r="L43" s="28">
        <f t="shared" si="4"/>
        <v>6.1200000000000045</v>
      </c>
      <c r="M43" s="20">
        <v>145</v>
      </c>
      <c r="N43" s="49">
        <v>39448</v>
      </c>
      <c r="O43" s="41">
        <f>DATEDIF(E43,F43,"m")</f>
        <v>64</v>
      </c>
      <c r="P43" s="41">
        <f t="shared" si="10"/>
        <v>149.12</v>
      </c>
      <c r="Q43" s="53">
        <f t="shared" si="0"/>
        <v>149.12</v>
      </c>
      <c r="R43" s="20">
        <f t="shared" si="6"/>
        <v>4.1200000000000045</v>
      </c>
      <c r="S43" s="20">
        <f t="shared" si="20"/>
        <v>-2</v>
      </c>
      <c r="T43" s="20">
        <v>12000</v>
      </c>
      <c r="U43" s="30">
        <f t="shared" si="1"/>
        <v>2414.4657534246594</v>
      </c>
      <c r="V43" s="32">
        <f t="shared" si="8"/>
        <v>1625.4246575342484</v>
      </c>
    </row>
    <row r="44" spans="1:22" ht="25.5" customHeight="1" x14ac:dyDescent="0.15">
      <c r="A44" s="7" t="s">
        <v>65</v>
      </c>
      <c r="B44" s="7" t="s">
        <v>68</v>
      </c>
      <c r="C44" s="7" t="s">
        <v>71</v>
      </c>
      <c r="D44" s="9">
        <v>96</v>
      </c>
      <c r="E44" s="25">
        <v>40360</v>
      </c>
      <c r="F44" s="10">
        <v>41426</v>
      </c>
      <c r="G44" s="11">
        <f t="shared" si="2"/>
        <v>35</v>
      </c>
      <c r="H44" s="20">
        <v>2.09</v>
      </c>
      <c r="I44" s="19">
        <f t="shared" si="3"/>
        <v>81.55</v>
      </c>
      <c r="J44" s="20">
        <v>42</v>
      </c>
      <c r="K44" s="20">
        <v>76.97</v>
      </c>
      <c r="L44" s="28">
        <f t="shared" si="4"/>
        <v>39.549999999999997</v>
      </c>
      <c r="M44" s="20">
        <v>54</v>
      </c>
      <c r="N44" s="47">
        <f t="shared" ref="N44:N46" si="27">E44</f>
        <v>40360</v>
      </c>
      <c r="O44" s="41">
        <f t="shared" ref="O44:O46" si="28">DATEDIF(N44,F44,"m")</f>
        <v>35</v>
      </c>
      <c r="P44" s="41">
        <f t="shared" si="10"/>
        <v>81.55</v>
      </c>
      <c r="Q44" s="53">
        <f t="shared" si="0"/>
        <v>81.55</v>
      </c>
      <c r="R44" s="20">
        <f t="shared" si="6"/>
        <v>27.549999999999997</v>
      </c>
      <c r="S44" s="20">
        <f t="shared" si="20"/>
        <v>-12</v>
      </c>
      <c r="T44" s="20">
        <v>12000</v>
      </c>
      <c r="U44" s="30">
        <f t="shared" si="1"/>
        <v>15603.287671232874</v>
      </c>
      <c r="V44" s="32">
        <f t="shared" si="8"/>
        <v>10869.041095890409</v>
      </c>
    </row>
    <row r="45" spans="1:22" ht="25.5" customHeight="1" x14ac:dyDescent="0.15">
      <c r="A45" s="7" t="s">
        <v>65</v>
      </c>
      <c r="B45" s="7" t="s">
        <v>68</v>
      </c>
      <c r="C45" s="7" t="s">
        <v>72</v>
      </c>
      <c r="D45" s="9">
        <v>133</v>
      </c>
      <c r="E45" s="25">
        <v>41001</v>
      </c>
      <c r="F45" s="10">
        <v>41426</v>
      </c>
      <c r="G45" s="11">
        <f t="shared" si="2"/>
        <v>13</v>
      </c>
      <c r="H45" s="19">
        <v>1</v>
      </c>
      <c r="I45" s="19">
        <f t="shared" si="3"/>
        <v>30.29</v>
      </c>
      <c r="J45" s="20">
        <v>10</v>
      </c>
      <c r="K45" s="20">
        <v>28</v>
      </c>
      <c r="L45" s="28">
        <f t="shared" si="4"/>
        <v>20.29</v>
      </c>
      <c r="M45" s="20">
        <v>16</v>
      </c>
      <c r="N45" s="47">
        <f t="shared" si="27"/>
        <v>41001</v>
      </c>
      <c r="O45" s="41">
        <f t="shared" si="28"/>
        <v>13</v>
      </c>
      <c r="P45" s="41">
        <f t="shared" si="10"/>
        <v>30.29</v>
      </c>
      <c r="Q45" s="53">
        <f t="shared" si="0"/>
        <v>30.29</v>
      </c>
      <c r="R45" s="20">
        <f t="shared" si="6"/>
        <v>14.29</v>
      </c>
      <c r="S45" s="20">
        <f t="shared" si="20"/>
        <v>-6</v>
      </c>
      <c r="T45" s="20">
        <v>12000</v>
      </c>
      <c r="U45" s="30">
        <f t="shared" si="1"/>
        <v>8004.8219178082181</v>
      </c>
      <c r="V45" s="32">
        <f t="shared" si="8"/>
        <v>5637.6986301369861</v>
      </c>
    </row>
    <row r="46" spans="1:22" ht="25.5" customHeight="1" x14ac:dyDescent="0.15">
      <c r="A46" s="7" t="s">
        <v>65</v>
      </c>
      <c r="B46" s="7" t="s">
        <v>73</v>
      </c>
      <c r="C46" s="7" t="s">
        <v>74</v>
      </c>
      <c r="D46" s="9">
        <v>135</v>
      </c>
      <c r="E46" s="25">
        <v>41067</v>
      </c>
      <c r="F46" s="10">
        <v>41426</v>
      </c>
      <c r="G46" s="11">
        <f t="shared" si="2"/>
        <v>11</v>
      </c>
      <c r="H46" s="20">
        <v>0.09</v>
      </c>
      <c r="I46" s="19">
        <f t="shared" si="3"/>
        <v>25.630000000000003</v>
      </c>
      <c r="J46" s="20">
        <v>21</v>
      </c>
      <c r="K46" s="20">
        <v>20.97</v>
      </c>
      <c r="L46" s="28">
        <f t="shared" si="4"/>
        <v>4.6300000000000026</v>
      </c>
      <c r="M46" s="20">
        <v>29</v>
      </c>
      <c r="N46" s="47">
        <f t="shared" si="27"/>
        <v>41067</v>
      </c>
      <c r="O46" s="41">
        <f t="shared" si="28"/>
        <v>11</v>
      </c>
      <c r="P46" s="41">
        <f>O46*2.33</f>
        <v>25.630000000000003</v>
      </c>
      <c r="Q46" s="53">
        <f t="shared" si="0"/>
        <v>25.630000000000003</v>
      </c>
      <c r="R46" s="20">
        <f t="shared" si="6"/>
        <v>-3.3699999999999974</v>
      </c>
      <c r="S46" s="20">
        <f t="shared" si="20"/>
        <v>-8</v>
      </c>
      <c r="T46" s="20">
        <v>13000</v>
      </c>
      <c r="U46" s="30">
        <f t="shared" si="1"/>
        <v>1978.8493150684944</v>
      </c>
      <c r="V46" s="32">
        <f t="shared" si="8"/>
        <v>-1440.3287671232865</v>
      </c>
    </row>
    <row r="47" spans="1:22" ht="25.5" customHeight="1" x14ac:dyDescent="0.15">
      <c r="A47" s="7" t="s">
        <v>65</v>
      </c>
      <c r="B47" s="7" t="s">
        <v>75</v>
      </c>
      <c r="C47" s="7" t="s">
        <v>76</v>
      </c>
      <c r="D47" s="9">
        <v>43</v>
      </c>
      <c r="E47" s="25">
        <v>39234</v>
      </c>
      <c r="F47" s="10">
        <v>41426</v>
      </c>
      <c r="G47" s="11">
        <f t="shared" si="2"/>
        <v>72</v>
      </c>
      <c r="H47" s="19">
        <v>5.0999999999999996</v>
      </c>
      <c r="I47" s="19">
        <f t="shared" si="3"/>
        <v>167.76</v>
      </c>
      <c r="J47" s="20">
        <v>155</v>
      </c>
      <c r="K47" s="20">
        <v>163.30000000000001</v>
      </c>
      <c r="L47" s="28">
        <f t="shared" si="4"/>
        <v>12.759999999999991</v>
      </c>
      <c r="M47" s="20">
        <v>157</v>
      </c>
      <c r="N47" s="49">
        <v>39448</v>
      </c>
      <c r="O47" s="41">
        <f>DATEDIF(N47,F47,"m")</f>
        <v>65</v>
      </c>
      <c r="P47" s="41">
        <f t="shared" si="10"/>
        <v>151.45000000000002</v>
      </c>
      <c r="Q47" s="53">
        <f t="shared" si="0"/>
        <v>151.45000000000002</v>
      </c>
      <c r="R47" s="20">
        <f t="shared" si="6"/>
        <v>-5.5499999999999829</v>
      </c>
      <c r="S47" s="20">
        <f t="shared" si="20"/>
        <v>-2</v>
      </c>
      <c r="T47" s="20">
        <v>12000</v>
      </c>
      <c r="U47" s="30">
        <f t="shared" si="1"/>
        <v>5034.082191780818</v>
      </c>
      <c r="V47" s="32">
        <f t="shared" si="8"/>
        <v>-2189.5890410958837</v>
      </c>
    </row>
    <row r="48" spans="1:22" ht="25.5" customHeight="1" x14ac:dyDescent="0.15">
      <c r="A48" s="13" t="s">
        <v>77</v>
      </c>
      <c r="B48" s="17" t="s">
        <v>78</v>
      </c>
      <c r="C48" s="7" t="s">
        <v>79</v>
      </c>
      <c r="D48" s="9">
        <v>3</v>
      </c>
      <c r="E48" s="25">
        <v>37622</v>
      </c>
      <c r="F48" s="10">
        <v>41426</v>
      </c>
      <c r="G48" s="11">
        <f t="shared" si="2"/>
        <v>125</v>
      </c>
      <c r="H48" s="20">
        <v>10.029999999999999</v>
      </c>
      <c r="I48" s="19">
        <f t="shared" si="3"/>
        <v>291.25</v>
      </c>
      <c r="J48" s="20">
        <v>259</v>
      </c>
      <c r="K48" s="20">
        <v>286.99</v>
      </c>
      <c r="L48" s="28">
        <f t="shared" si="4"/>
        <v>32.25</v>
      </c>
      <c r="M48" s="20">
        <v>123</v>
      </c>
      <c r="N48" s="49">
        <v>39448</v>
      </c>
      <c r="O48" s="41">
        <f>DATEDIF(N48,F48,"m")</f>
        <v>65</v>
      </c>
      <c r="P48" s="41">
        <f t="shared" si="10"/>
        <v>151.45000000000002</v>
      </c>
      <c r="Q48" s="53">
        <f t="shared" si="0"/>
        <v>151.45000000000002</v>
      </c>
      <c r="R48" s="20">
        <f t="shared" si="6"/>
        <v>28.450000000000017</v>
      </c>
      <c r="S48" s="42"/>
      <c r="T48" s="20">
        <v>20000</v>
      </c>
      <c r="U48" s="30">
        <f t="shared" si="1"/>
        <v>21205.479452054795</v>
      </c>
      <c r="V48" s="32">
        <f t="shared" si="8"/>
        <v>18706.849315068503</v>
      </c>
    </row>
    <row r="49" spans="1:22" ht="25.5" customHeight="1" x14ac:dyDescent="0.15">
      <c r="A49" s="13" t="s">
        <v>77</v>
      </c>
      <c r="B49" s="22" t="s">
        <v>80</v>
      </c>
      <c r="C49" s="12" t="s">
        <v>81</v>
      </c>
      <c r="D49" s="9">
        <v>36</v>
      </c>
      <c r="E49" s="25">
        <v>38930</v>
      </c>
      <c r="F49" s="10">
        <v>41426</v>
      </c>
      <c r="G49" s="11">
        <f t="shared" si="2"/>
        <v>82</v>
      </c>
      <c r="H49" s="20">
        <v>6.08</v>
      </c>
      <c r="I49" s="19">
        <f t="shared" si="3"/>
        <v>191.06</v>
      </c>
      <c r="J49" s="20">
        <v>136</v>
      </c>
      <c r="K49" s="20">
        <v>186.64</v>
      </c>
      <c r="L49" s="28">
        <f t="shared" si="4"/>
        <v>55.06</v>
      </c>
      <c r="M49" s="20">
        <v>126</v>
      </c>
      <c r="N49" s="49">
        <v>39448</v>
      </c>
      <c r="O49" s="41">
        <f>DATEDIF(N49,F49,"m")</f>
        <v>65</v>
      </c>
      <c r="P49" s="41">
        <f t="shared" si="10"/>
        <v>151.45000000000002</v>
      </c>
      <c r="Q49" s="53">
        <f t="shared" si="0"/>
        <v>151.45000000000002</v>
      </c>
      <c r="R49" s="20">
        <f t="shared" si="6"/>
        <v>25.450000000000017</v>
      </c>
      <c r="S49" s="20">
        <f t="shared" ref="S49:S56" si="29">J49-M49</f>
        <v>10</v>
      </c>
      <c r="T49" s="20">
        <v>13000</v>
      </c>
      <c r="U49" s="30">
        <f t="shared" si="1"/>
        <v>23532.493150684932</v>
      </c>
      <c r="V49" s="32">
        <f t="shared" si="8"/>
        <v>10877.26027397261</v>
      </c>
    </row>
    <row r="50" spans="1:22" ht="25.5" customHeight="1" x14ac:dyDescent="0.15">
      <c r="A50" s="13" t="s">
        <v>77</v>
      </c>
      <c r="B50" s="7" t="s">
        <v>80</v>
      </c>
      <c r="C50" s="7" t="s">
        <v>82</v>
      </c>
      <c r="D50" s="9">
        <v>63</v>
      </c>
      <c r="E50" s="25">
        <v>39572</v>
      </c>
      <c r="F50" s="10">
        <v>41426</v>
      </c>
      <c r="G50" s="11">
        <f t="shared" si="2"/>
        <v>60</v>
      </c>
      <c r="H50" s="19">
        <v>4.0999999999999996</v>
      </c>
      <c r="I50" s="19">
        <f t="shared" si="3"/>
        <v>139.80000000000001</v>
      </c>
      <c r="J50" s="20">
        <v>35</v>
      </c>
      <c r="K50" s="20">
        <v>135.30000000000001</v>
      </c>
      <c r="L50" s="28">
        <f t="shared" si="4"/>
        <v>104.80000000000001</v>
      </c>
      <c r="M50" s="20">
        <v>49</v>
      </c>
      <c r="N50" s="49">
        <v>39448</v>
      </c>
      <c r="O50" s="41">
        <f>DATEDIF(E50,F50,"m")</f>
        <v>60</v>
      </c>
      <c r="P50" s="41">
        <f t="shared" si="10"/>
        <v>139.80000000000001</v>
      </c>
      <c r="Q50" s="53">
        <f t="shared" si="0"/>
        <v>139.80000000000001</v>
      </c>
      <c r="R50" s="20">
        <f t="shared" si="6"/>
        <v>90.800000000000011</v>
      </c>
      <c r="S50" s="20">
        <f t="shared" si="29"/>
        <v>-14</v>
      </c>
      <c r="T50" s="20">
        <v>13000</v>
      </c>
      <c r="U50" s="30">
        <f t="shared" si="1"/>
        <v>44791.232876712333</v>
      </c>
      <c r="V50" s="32">
        <f t="shared" si="8"/>
        <v>38807.671232876717</v>
      </c>
    </row>
    <row r="51" spans="1:22" ht="25.5" customHeight="1" x14ac:dyDescent="0.15">
      <c r="A51" s="13" t="s">
        <v>77</v>
      </c>
      <c r="B51" s="7" t="s">
        <v>80</v>
      </c>
      <c r="C51" s="7" t="s">
        <v>83</v>
      </c>
      <c r="D51" s="9">
        <v>144</v>
      </c>
      <c r="E51" s="25">
        <v>41183</v>
      </c>
      <c r="F51" s="10">
        <v>41426</v>
      </c>
      <c r="G51" s="11">
        <f t="shared" si="2"/>
        <v>8</v>
      </c>
      <c r="H51" s="20">
        <v>0.06</v>
      </c>
      <c r="I51" s="19">
        <f t="shared" si="3"/>
        <v>18.64</v>
      </c>
      <c r="J51" s="20">
        <v>0</v>
      </c>
      <c r="K51" s="20">
        <v>13.98</v>
      </c>
      <c r="L51" s="28">
        <f t="shared" si="4"/>
        <v>18.64</v>
      </c>
      <c r="M51" s="20">
        <v>0</v>
      </c>
      <c r="N51" s="47">
        <f t="shared" ref="N51:N52" si="30">E51</f>
        <v>41183</v>
      </c>
      <c r="O51" s="41">
        <f t="shared" ref="O51:O52" si="31">DATEDIF(N51,F51,"m")</f>
        <v>8</v>
      </c>
      <c r="P51" s="41">
        <f t="shared" si="10"/>
        <v>18.64</v>
      </c>
      <c r="Q51" s="53">
        <f t="shared" si="0"/>
        <v>18.64</v>
      </c>
      <c r="R51" s="20">
        <f t="shared" si="6"/>
        <v>18.64</v>
      </c>
      <c r="S51" s="20">
        <f t="shared" si="29"/>
        <v>0</v>
      </c>
      <c r="T51" s="20">
        <v>13000</v>
      </c>
      <c r="U51" s="30">
        <f t="shared" si="1"/>
        <v>7966.6849315068503</v>
      </c>
      <c r="V51" s="32">
        <f t="shared" si="8"/>
        <v>7966.6849315068503</v>
      </c>
    </row>
    <row r="52" spans="1:22" ht="24.75" customHeight="1" x14ac:dyDescent="0.15">
      <c r="A52" s="13" t="s">
        <v>77</v>
      </c>
      <c r="B52" s="7" t="s">
        <v>80</v>
      </c>
      <c r="C52" s="7" t="s">
        <v>84</v>
      </c>
      <c r="D52" s="9">
        <v>145</v>
      </c>
      <c r="E52" s="25">
        <v>41183</v>
      </c>
      <c r="F52" s="10">
        <v>41426</v>
      </c>
      <c r="G52" s="11">
        <f t="shared" si="2"/>
        <v>8</v>
      </c>
      <c r="H52" s="20">
        <v>0.06</v>
      </c>
      <c r="I52" s="19">
        <f t="shared" si="3"/>
        <v>18.64</v>
      </c>
      <c r="J52" s="20">
        <v>0</v>
      </c>
      <c r="K52" s="20">
        <v>13.98</v>
      </c>
      <c r="L52" s="28">
        <f t="shared" si="4"/>
        <v>18.64</v>
      </c>
      <c r="M52" s="20">
        <v>0</v>
      </c>
      <c r="N52" s="47">
        <f t="shared" si="30"/>
        <v>41183</v>
      </c>
      <c r="O52" s="41">
        <f t="shared" si="31"/>
        <v>8</v>
      </c>
      <c r="P52" s="41">
        <f>O52*2.33</f>
        <v>18.64</v>
      </c>
      <c r="Q52" s="53">
        <f t="shared" si="0"/>
        <v>18.64</v>
      </c>
      <c r="R52" s="20">
        <f t="shared" si="6"/>
        <v>18.64</v>
      </c>
      <c r="S52" s="20">
        <f t="shared" si="29"/>
        <v>0</v>
      </c>
      <c r="T52" s="20">
        <v>13000</v>
      </c>
      <c r="U52" s="30">
        <f t="shared" si="1"/>
        <v>7966.6849315068503</v>
      </c>
      <c r="V52" s="32">
        <f t="shared" si="8"/>
        <v>7966.6849315068503</v>
      </c>
    </row>
    <row r="53" spans="1:22" ht="25.5" customHeight="1" x14ac:dyDescent="0.15">
      <c r="A53" s="13" t="s">
        <v>77</v>
      </c>
      <c r="B53" s="7" t="s">
        <v>80</v>
      </c>
      <c r="C53" s="7"/>
      <c r="D53" s="9"/>
      <c r="E53" s="25"/>
      <c r="F53" s="10"/>
      <c r="G53" s="11"/>
      <c r="H53" s="19"/>
      <c r="I53" s="19"/>
      <c r="J53" s="20"/>
      <c r="K53" s="20"/>
      <c r="L53" s="28">
        <f t="shared" si="4"/>
        <v>0</v>
      </c>
      <c r="M53" s="20"/>
      <c r="N53" s="49"/>
      <c r="O53" s="41"/>
      <c r="P53" s="41"/>
      <c r="Q53" s="53"/>
      <c r="R53" s="20">
        <f t="shared" si="6"/>
        <v>0</v>
      </c>
      <c r="S53" s="20"/>
      <c r="T53" s="20"/>
      <c r="U53" s="30"/>
      <c r="V53" s="32"/>
    </row>
    <row r="54" spans="1:22" ht="25.5" customHeight="1" x14ac:dyDescent="0.15">
      <c r="A54" s="13" t="s">
        <v>77</v>
      </c>
      <c r="B54" s="7" t="s">
        <v>80</v>
      </c>
      <c r="C54" s="7" t="s">
        <v>129</v>
      </c>
      <c r="D54" s="9"/>
      <c r="E54" s="25">
        <v>41365</v>
      </c>
      <c r="F54" s="10">
        <v>41426</v>
      </c>
      <c r="G54" s="11">
        <f t="shared" si="2"/>
        <v>2</v>
      </c>
      <c r="H54" s="20">
        <v>0.02</v>
      </c>
      <c r="I54" s="19">
        <f t="shared" si="3"/>
        <v>4.66</v>
      </c>
      <c r="J54" s="20"/>
      <c r="K54" s="20">
        <v>135.30000000000001</v>
      </c>
      <c r="L54" s="28">
        <f t="shared" si="4"/>
        <v>4.66</v>
      </c>
      <c r="M54" s="20"/>
      <c r="N54" s="47">
        <f t="shared" ref="N54:N56" si="32">E54</f>
        <v>41365</v>
      </c>
      <c r="O54" s="41">
        <f t="shared" ref="O54:O55" si="33">DATEDIF(E54,F54,"m")</f>
        <v>2</v>
      </c>
      <c r="P54" s="41">
        <f t="shared" si="10"/>
        <v>4.66</v>
      </c>
      <c r="Q54" s="53">
        <f t="shared" si="0"/>
        <v>4.66</v>
      </c>
      <c r="R54" s="20">
        <f t="shared" si="6"/>
        <v>4.66</v>
      </c>
      <c r="S54" s="20">
        <f t="shared" si="29"/>
        <v>0</v>
      </c>
      <c r="T54" s="20">
        <v>13000</v>
      </c>
      <c r="U54" s="30">
        <f t="shared" si="1"/>
        <v>1991.6712328767126</v>
      </c>
      <c r="V54" s="32">
        <f t="shared" si="8"/>
        <v>1991.6712328767126</v>
      </c>
    </row>
    <row r="55" spans="1:22" ht="25.5" customHeight="1" x14ac:dyDescent="0.15">
      <c r="A55" s="13" t="s">
        <v>77</v>
      </c>
      <c r="B55" s="7" t="s">
        <v>80</v>
      </c>
      <c r="C55" s="7" t="s">
        <v>130</v>
      </c>
      <c r="D55" s="9"/>
      <c r="E55" s="25">
        <v>41376</v>
      </c>
      <c r="F55" s="10">
        <v>41426</v>
      </c>
      <c r="G55" s="11">
        <f t="shared" si="2"/>
        <v>1</v>
      </c>
      <c r="H55" s="20">
        <v>0.02</v>
      </c>
      <c r="I55" s="19">
        <f t="shared" si="3"/>
        <v>2.33</v>
      </c>
      <c r="J55" s="20"/>
      <c r="K55" s="20">
        <v>135.30000000000001</v>
      </c>
      <c r="L55" s="28">
        <f t="shared" si="4"/>
        <v>2.33</v>
      </c>
      <c r="M55" s="20"/>
      <c r="N55" s="47">
        <f t="shared" si="32"/>
        <v>41376</v>
      </c>
      <c r="O55" s="41">
        <f t="shared" si="33"/>
        <v>1</v>
      </c>
      <c r="P55" s="41">
        <f t="shared" si="10"/>
        <v>2.33</v>
      </c>
      <c r="Q55" s="53">
        <f t="shared" si="0"/>
        <v>2.33</v>
      </c>
      <c r="R55" s="20">
        <f t="shared" si="6"/>
        <v>2.33</v>
      </c>
      <c r="S55" s="20">
        <f t="shared" si="29"/>
        <v>0</v>
      </c>
      <c r="T55" s="20">
        <v>13000</v>
      </c>
      <c r="U55" s="30">
        <f t="shared" si="1"/>
        <v>995.83561643835628</v>
      </c>
      <c r="V55" s="32">
        <f t="shared" si="8"/>
        <v>995.83561643835628</v>
      </c>
    </row>
    <row r="56" spans="1:22" ht="25.5" customHeight="1" x14ac:dyDescent="0.15">
      <c r="A56" s="13" t="s">
        <v>37</v>
      </c>
      <c r="B56" s="7" t="s">
        <v>122</v>
      </c>
      <c r="C56" s="7" t="s">
        <v>131</v>
      </c>
      <c r="D56" s="9"/>
      <c r="E56" s="26">
        <v>41393</v>
      </c>
      <c r="F56" s="10">
        <v>41426</v>
      </c>
      <c r="G56" s="11">
        <f t="shared" si="2"/>
        <v>1</v>
      </c>
      <c r="H56" s="20">
        <v>0.02</v>
      </c>
      <c r="I56" s="19">
        <f t="shared" si="3"/>
        <v>2.33</v>
      </c>
      <c r="J56" s="20">
        <v>0</v>
      </c>
      <c r="K56" s="20">
        <v>4.66</v>
      </c>
      <c r="L56" s="28">
        <f t="shared" si="4"/>
        <v>2.33</v>
      </c>
      <c r="M56" s="20"/>
      <c r="N56" s="47">
        <f t="shared" si="32"/>
        <v>41393</v>
      </c>
      <c r="O56" s="41">
        <f t="shared" ref="O56" si="34">DATEDIF(N56,F56,"m")</f>
        <v>1</v>
      </c>
      <c r="P56" s="41">
        <f t="shared" si="10"/>
        <v>2.33</v>
      </c>
      <c r="Q56" s="53">
        <f t="shared" si="0"/>
        <v>2.33</v>
      </c>
      <c r="R56" s="20">
        <f t="shared" si="6"/>
        <v>2.33</v>
      </c>
      <c r="S56" s="20">
        <f t="shared" si="29"/>
        <v>0</v>
      </c>
      <c r="T56" s="20">
        <v>13000</v>
      </c>
      <c r="U56" s="30">
        <f t="shared" si="1"/>
        <v>995.83561643835628</v>
      </c>
      <c r="V56" s="32">
        <f t="shared" si="8"/>
        <v>995.83561643835628</v>
      </c>
    </row>
    <row r="57" spans="1:22" ht="25.5" customHeight="1" x14ac:dyDescent="0.15">
      <c r="A57" s="17"/>
      <c r="E57" s="27"/>
      <c r="F57" s="23"/>
      <c r="G57" s="23"/>
      <c r="H57" s="23"/>
      <c r="I57" s="23"/>
      <c r="J57" s="23"/>
      <c r="K57" s="23"/>
      <c r="L57" s="27"/>
      <c r="M57" s="23"/>
      <c r="N57" s="48"/>
      <c r="O57" s="48"/>
      <c r="P57" s="48"/>
      <c r="Q57" s="54"/>
      <c r="R57" s="23"/>
      <c r="S57" s="20"/>
      <c r="T57" s="23"/>
      <c r="U57" s="31"/>
    </row>
    <row r="58" spans="1:22" ht="25.5" customHeight="1" x14ac:dyDescent="0.15">
      <c r="E58" s="27"/>
      <c r="F58" s="23"/>
      <c r="G58" s="23"/>
      <c r="H58" s="23"/>
      <c r="I58" s="23"/>
      <c r="J58" s="23"/>
      <c r="K58" s="23"/>
      <c r="L58" s="27">
        <f>SUBTOTAL(9,L5:L56)</f>
        <v>1402.8400000000001</v>
      </c>
      <c r="M58" s="23"/>
      <c r="N58" s="48"/>
      <c r="O58" s="48"/>
      <c r="P58" s="48"/>
      <c r="Q58" s="54"/>
      <c r="R58" s="27">
        <f>SUBTOTAL(9,R5:R56)</f>
        <v>1058.1500000000005</v>
      </c>
      <c r="S58" s="23"/>
      <c r="T58" s="59">
        <f>SUBTOTAL(9,T5:T56)</f>
        <v>709000</v>
      </c>
      <c r="U58" s="60">
        <f>SUBTOTAL(9,U5:U56)</f>
        <v>754590.90410958894</v>
      </c>
      <c r="V58" s="58">
        <f>SUBTOTAL(9,V5:V56)</f>
        <v>519444.82191780827</v>
      </c>
    </row>
  </sheetData>
  <autoFilter ref="A4:V5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7"/>
  <sheetViews>
    <sheetView zoomScale="90" zoomScaleNormal="90" workbookViewId="0">
      <pane xSplit="3" ySplit="4" topLeftCell="D52" activePane="bottomRight" state="frozen"/>
      <selection activeCell="C1" sqref="C1"/>
      <selection pane="topRight" activeCell="D1" sqref="D1"/>
      <selection pane="bottomLeft" activeCell="C5" sqref="C5"/>
      <selection pane="bottomRight" activeCell="S70" sqref="S70"/>
    </sheetView>
  </sheetViews>
  <sheetFormatPr defaultRowHeight="11.25" outlineLevelCol="1" x14ac:dyDescent="0.15"/>
  <cols>
    <col min="1" max="1" width="16" style="18" hidden="1" customWidth="1" outlineLevel="1"/>
    <col min="2" max="2" width="19.85546875" style="18" hidden="1" customWidth="1" outlineLevel="1"/>
    <col min="3" max="3" width="23.85546875" style="18" customWidth="1" collapsed="1"/>
    <col min="4" max="4" width="11.140625" style="18" customWidth="1"/>
    <col min="5" max="5" width="10.42578125" style="24" customWidth="1"/>
    <col min="6" max="6" width="10.5703125" style="18" customWidth="1"/>
    <col min="7" max="7" width="7.5703125" style="18" customWidth="1"/>
    <col min="8" max="8" width="9.140625" style="18" hidden="1" customWidth="1"/>
    <col min="9" max="9" width="9.140625" style="18"/>
    <col min="10" max="10" width="13.7109375" style="18" customWidth="1"/>
    <col min="11" max="11" width="14.7109375" style="18" hidden="1" customWidth="1"/>
    <col min="12" max="12" width="8.42578125" style="24" customWidth="1"/>
    <col min="13" max="13" width="13.85546875" style="18" customWidth="1"/>
    <col min="14" max="14" width="11.42578125" style="45" hidden="1" customWidth="1" outlineLevel="1"/>
    <col min="15" max="15" width="11.28515625" style="45" hidden="1" customWidth="1" outlineLevel="1"/>
    <col min="16" max="16" width="9.85546875" style="45" hidden="1" customWidth="1" outlineLevel="1"/>
    <col min="17" max="17" width="10.28515625" style="51" customWidth="1" collapsed="1"/>
    <col min="18" max="19" width="9.140625" style="18"/>
    <col min="20" max="20" width="14.5703125" style="18" customWidth="1" outlineLevel="1"/>
    <col min="21" max="21" width="13" style="29" customWidth="1" outlineLevel="1"/>
    <col min="22" max="22" width="16.42578125" style="18" customWidth="1" outlineLevel="1"/>
    <col min="23" max="16384" width="9.140625" style="18"/>
  </cols>
  <sheetData>
    <row r="1" spans="1:22" s="55" customFormat="1" ht="15" x14ac:dyDescent="0.25"/>
    <row r="2" spans="1:22" s="55" customFormat="1" ht="15" x14ac:dyDescent="0.25">
      <c r="G2" s="56"/>
    </row>
    <row r="3" spans="1:22" s="55" customFormat="1" ht="15.75" customHeight="1" x14ac:dyDescent="0.25"/>
    <row r="4" spans="1:22" s="44" customFormat="1" ht="58.5" customHeight="1" x14ac:dyDescent="0.15">
      <c r="A4" s="57" t="s">
        <v>0</v>
      </c>
      <c r="B4" s="57" t="s">
        <v>1</v>
      </c>
      <c r="C4" s="57" t="s">
        <v>2</v>
      </c>
      <c r="D4" s="35" t="s">
        <v>3</v>
      </c>
      <c r="E4" s="39" t="s">
        <v>107</v>
      </c>
      <c r="F4" s="57" t="s">
        <v>115</v>
      </c>
      <c r="G4" s="57" t="s">
        <v>117</v>
      </c>
      <c r="H4" s="36" t="s">
        <v>4</v>
      </c>
      <c r="I4" s="33" t="s">
        <v>118</v>
      </c>
      <c r="J4" s="34" t="s">
        <v>119</v>
      </c>
      <c r="K4" s="36" t="s">
        <v>108</v>
      </c>
      <c r="L4" s="40" t="s">
        <v>109</v>
      </c>
      <c r="M4" s="34" t="s">
        <v>120</v>
      </c>
      <c r="N4" s="46" t="s">
        <v>125</v>
      </c>
      <c r="O4" s="46" t="s">
        <v>124</v>
      </c>
      <c r="P4" s="50" t="s">
        <v>114</v>
      </c>
      <c r="Q4" s="52" t="s">
        <v>126</v>
      </c>
      <c r="R4" s="34" t="s">
        <v>110</v>
      </c>
      <c r="S4" s="34" t="s">
        <v>113</v>
      </c>
      <c r="T4" s="38" t="s">
        <v>111</v>
      </c>
      <c r="U4" s="37" t="s">
        <v>112</v>
      </c>
      <c r="V4" s="43" t="s">
        <v>123</v>
      </c>
    </row>
    <row r="5" spans="1:22" ht="29.25" customHeight="1" x14ac:dyDescent="0.15">
      <c r="A5" s="7" t="s">
        <v>31</v>
      </c>
      <c r="B5" s="7" t="s">
        <v>13</v>
      </c>
      <c r="C5" s="7" t="s">
        <v>9</v>
      </c>
      <c r="D5" s="9">
        <v>23</v>
      </c>
      <c r="E5" s="25">
        <v>38443</v>
      </c>
      <c r="F5" s="10">
        <v>41456</v>
      </c>
      <c r="G5" s="11">
        <f>DATEDIF(E5,F5,"m")</f>
        <v>99</v>
      </c>
      <c r="H5" s="19">
        <v>8</v>
      </c>
      <c r="I5" s="19">
        <f>G5*2.33</f>
        <v>230.67000000000002</v>
      </c>
      <c r="J5" s="20">
        <v>203</v>
      </c>
      <c r="K5" s="20">
        <v>224</v>
      </c>
      <c r="L5" s="28">
        <f>I5-J5</f>
        <v>27.670000000000016</v>
      </c>
      <c r="M5" s="21">
        <v>154</v>
      </c>
      <c r="N5" s="49">
        <v>39448</v>
      </c>
      <c r="O5" s="41">
        <f>DATEDIF(N5,F5,"m")</f>
        <v>66</v>
      </c>
      <c r="P5" s="41">
        <f>O5*2.33</f>
        <v>153.78</v>
      </c>
      <c r="Q5" s="53">
        <f t="shared" ref="Q5:Q55" si="0">O5*2.33</f>
        <v>153.78</v>
      </c>
      <c r="R5" s="20">
        <f>Q5-M5</f>
        <v>-0.21999999999999886</v>
      </c>
      <c r="S5" s="42"/>
      <c r="T5" s="20">
        <v>18000</v>
      </c>
      <c r="U5" s="30">
        <f t="shared" ref="U5:U55" si="1">((T5*12)/365)*L5</f>
        <v>16374.575342465763</v>
      </c>
      <c r="V5" s="32">
        <f>((T5*12)/365)*R5</f>
        <v>-130.19178082191715</v>
      </c>
    </row>
    <row r="6" spans="1:22" ht="29.25" customHeight="1" x14ac:dyDescent="0.15">
      <c r="A6" s="7" t="s">
        <v>31</v>
      </c>
      <c r="B6" s="7" t="s">
        <v>46</v>
      </c>
      <c r="C6" s="7" t="s">
        <v>45</v>
      </c>
      <c r="D6" s="9">
        <v>106</v>
      </c>
      <c r="E6" s="25">
        <v>40513</v>
      </c>
      <c r="F6" s="10">
        <v>41456</v>
      </c>
      <c r="G6" s="11">
        <f t="shared" ref="G6:G55" si="2">DATEDIF(E6,F6,"m")</f>
        <v>31</v>
      </c>
      <c r="H6" s="19">
        <v>2.04</v>
      </c>
      <c r="I6" s="19">
        <f t="shared" ref="I6:I55" si="3">G6*2.33</f>
        <v>72.23</v>
      </c>
      <c r="J6" s="20">
        <v>56</v>
      </c>
      <c r="K6" s="20">
        <v>65.319999999999993</v>
      </c>
      <c r="L6" s="28">
        <f t="shared" ref="L6:L55" si="4">I6-J6</f>
        <v>16.230000000000004</v>
      </c>
      <c r="M6" s="20">
        <v>56</v>
      </c>
      <c r="N6" s="47">
        <f>E6</f>
        <v>40513</v>
      </c>
      <c r="O6" s="41">
        <f t="shared" ref="O6:O10" si="5">DATEDIF(N6,F6,"m")</f>
        <v>31</v>
      </c>
      <c r="P6" s="41">
        <f>O6*2.33</f>
        <v>72.23</v>
      </c>
      <c r="Q6" s="53">
        <f t="shared" si="0"/>
        <v>72.23</v>
      </c>
      <c r="R6" s="20">
        <f t="shared" ref="R6:R55" si="6">Q6-M6</f>
        <v>16.230000000000004</v>
      </c>
      <c r="S6" s="20">
        <f t="shared" ref="S6:S22" si="7">J6-M6</f>
        <v>0</v>
      </c>
      <c r="T6" s="20">
        <v>12000</v>
      </c>
      <c r="U6" s="30">
        <f t="shared" si="1"/>
        <v>6403.0684931506867</v>
      </c>
      <c r="V6" s="32">
        <f t="shared" ref="V6:V55" si="8">((T6*12)/365)*R6</f>
        <v>6403.0684931506867</v>
      </c>
    </row>
    <row r="7" spans="1:22" ht="29.25" customHeight="1" x14ac:dyDescent="0.15">
      <c r="A7" s="7" t="s">
        <v>31</v>
      </c>
      <c r="B7" s="7" t="s">
        <v>11</v>
      </c>
      <c r="C7" s="7" t="s">
        <v>16</v>
      </c>
      <c r="D7" s="9">
        <v>126</v>
      </c>
      <c r="E7" s="25">
        <v>40848</v>
      </c>
      <c r="F7" s="10">
        <v>41456</v>
      </c>
      <c r="G7" s="11">
        <f t="shared" si="2"/>
        <v>20</v>
      </c>
      <c r="H7" s="19">
        <v>1.05</v>
      </c>
      <c r="I7" s="19">
        <f t="shared" si="3"/>
        <v>46.6</v>
      </c>
      <c r="J7" s="20">
        <f>14+28</f>
        <v>42</v>
      </c>
      <c r="K7" s="20">
        <v>39.65</v>
      </c>
      <c r="L7" s="28">
        <f t="shared" si="4"/>
        <v>4.6000000000000014</v>
      </c>
      <c r="M7" s="21">
        <v>0</v>
      </c>
      <c r="N7" s="47">
        <f t="shared" ref="N7:N12" si="9">E7</f>
        <v>40848</v>
      </c>
      <c r="O7" s="41">
        <f t="shared" si="5"/>
        <v>20</v>
      </c>
      <c r="P7" s="41">
        <f t="shared" ref="P7:P55" si="10">O7*2.33</f>
        <v>46.6</v>
      </c>
      <c r="Q7" s="53">
        <f t="shared" si="0"/>
        <v>46.6</v>
      </c>
      <c r="R7" s="20">
        <f t="shared" si="6"/>
        <v>46.6</v>
      </c>
      <c r="S7" s="20">
        <f t="shared" si="7"/>
        <v>42</v>
      </c>
      <c r="T7" s="20">
        <v>13000</v>
      </c>
      <c r="U7" s="30">
        <f t="shared" si="1"/>
        <v>1966.0273972602747</v>
      </c>
      <c r="V7" s="32">
        <f t="shared" si="8"/>
        <v>19916.712328767124</v>
      </c>
    </row>
    <row r="8" spans="1:22" ht="29.25" customHeight="1" x14ac:dyDescent="0.15">
      <c r="A8" s="7" t="s">
        <v>31</v>
      </c>
      <c r="B8" s="7" t="s">
        <v>11</v>
      </c>
      <c r="C8" s="7" t="s">
        <v>12</v>
      </c>
      <c r="D8" s="9">
        <v>123</v>
      </c>
      <c r="E8" s="25">
        <v>40826</v>
      </c>
      <c r="F8" s="10">
        <v>41456</v>
      </c>
      <c r="G8" s="11">
        <f t="shared" si="2"/>
        <v>20</v>
      </c>
      <c r="H8" s="19">
        <v>1.05</v>
      </c>
      <c r="I8" s="19">
        <f t="shared" si="3"/>
        <v>46.6</v>
      </c>
      <c r="J8" s="20">
        <v>43</v>
      </c>
      <c r="K8" s="20">
        <v>39.65</v>
      </c>
      <c r="L8" s="28">
        <f t="shared" si="4"/>
        <v>3.6000000000000014</v>
      </c>
      <c r="M8" s="21">
        <v>43</v>
      </c>
      <c r="N8" s="47">
        <f t="shared" si="9"/>
        <v>40826</v>
      </c>
      <c r="O8" s="41">
        <f t="shared" si="5"/>
        <v>20</v>
      </c>
      <c r="P8" s="41">
        <f t="shared" si="10"/>
        <v>46.6</v>
      </c>
      <c r="Q8" s="53">
        <f t="shared" si="0"/>
        <v>46.6</v>
      </c>
      <c r="R8" s="20">
        <f t="shared" si="6"/>
        <v>3.6000000000000014</v>
      </c>
      <c r="S8" s="20">
        <f t="shared" si="7"/>
        <v>0</v>
      </c>
      <c r="T8" s="20">
        <v>13000</v>
      </c>
      <c r="U8" s="30">
        <f t="shared" si="1"/>
        <v>1538.630136986302</v>
      </c>
      <c r="V8" s="32">
        <f t="shared" si="8"/>
        <v>1538.630136986302</v>
      </c>
    </row>
    <row r="9" spans="1:22" ht="29.25" customHeight="1" x14ac:dyDescent="0.15">
      <c r="A9" s="7" t="s">
        <v>31</v>
      </c>
      <c r="B9" s="7" t="s">
        <v>11</v>
      </c>
      <c r="C9" s="7" t="s">
        <v>26</v>
      </c>
      <c r="D9" s="9">
        <v>134</v>
      </c>
      <c r="E9" s="25">
        <v>41031</v>
      </c>
      <c r="F9" s="10">
        <v>41456</v>
      </c>
      <c r="G9" s="11">
        <f t="shared" si="2"/>
        <v>13</v>
      </c>
      <c r="H9" s="19">
        <v>0.11</v>
      </c>
      <c r="I9" s="19">
        <f t="shared" si="3"/>
        <v>30.29</v>
      </c>
      <c r="J9" s="20">
        <f>9+14</f>
        <v>23</v>
      </c>
      <c r="K9" s="20">
        <v>25.63</v>
      </c>
      <c r="L9" s="28">
        <f t="shared" si="4"/>
        <v>7.2899999999999991</v>
      </c>
      <c r="M9" s="21">
        <f>12+13</f>
        <v>25</v>
      </c>
      <c r="N9" s="47">
        <f t="shared" si="9"/>
        <v>41031</v>
      </c>
      <c r="O9" s="41">
        <f t="shared" si="5"/>
        <v>13</v>
      </c>
      <c r="P9" s="41">
        <f t="shared" si="10"/>
        <v>30.29</v>
      </c>
      <c r="Q9" s="53">
        <f t="shared" si="0"/>
        <v>30.29</v>
      </c>
      <c r="R9" s="20">
        <f t="shared" si="6"/>
        <v>5.2899999999999991</v>
      </c>
      <c r="S9" s="20">
        <f t="shared" si="7"/>
        <v>-2</v>
      </c>
      <c r="T9" s="20">
        <v>13000</v>
      </c>
      <c r="U9" s="30">
        <f t="shared" si="1"/>
        <v>3115.7260273972602</v>
      </c>
      <c r="V9" s="32">
        <f t="shared" si="8"/>
        <v>2260.9315068493147</v>
      </c>
    </row>
    <row r="10" spans="1:22" ht="29.25" customHeight="1" x14ac:dyDescent="0.15">
      <c r="A10" s="7" t="s">
        <v>31</v>
      </c>
      <c r="B10" s="7" t="s">
        <v>11</v>
      </c>
      <c r="C10" s="7" t="s">
        <v>47</v>
      </c>
      <c r="D10" s="9">
        <v>130</v>
      </c>
      <c r="E10" s="25">
        <v>40969</v>
      </c>
      <c r="F10" s="10">
        <v>41456</v>
      </c>
      <c r="G10" s="11">
        <f t="shared" si="2"/>
        <v>16</v>
      </c>
      <c r="H10" s="19">
        <v>1</v>
      </c>
      <c r="I10" s="19">
        <f t="shared" si="3"/>
        <v>37.28</v>
      </c>
      <c r="J10" s="20">
        <v>28</v>
      </c>
      <c r="K10" s="20">
        <v>28</v>
      </c>
      <c r="L10" s="28">
        <f t="shared" si="4"/>
        <v>9.2800000000000011</v>
      </c>
      <c r="M10" s="20">
        <v>0</v>
      </c>
      <c r="N10" s="47">
        <f t="shared" si="9"/>
        <v>40969</v>
      </c>
      <c r="O10" s="41">
        <f t="shared" si="5"/>
        <v>16</v>
      </c>
      <c r="P10" s="41">
        <f t="shared" si="10"/>
        <v>37.28</v>
      </c>
      <c r="Q10" s="53">
        <f t="shared" si="0"/>
        <v>37.28</v>
      </c>
      <c r="R10" s="20">
        <f t="shared" si="6"/>
        <v>37.28</v>
      </c>
      <c r="S10" s="20">
        <f t="shared" si="7"/>
        <v>28</v>
      </c>
      <c r="T10" s="20">
        <v>13000</v>
      </c>
      <c r="U10" s="30">
        <f t="shared" si="1"/>
        <v>3966.2465753424663</v>
      </c>
      <c r="V10" s="32">
        <f t="shared" si="8"/>
        <v>15933.369863013701</v>
      </c>
    </row>
    <row r="11" spans="1:22" ht="29.25" customHeight="1" x14ac:dyDescent="0.15">
      <c r="A11" s="7" t="s">
        <v>8</v>
      </c>
      <c r="B11" s="7" t="s">
        <v>14</v>
      </c>
      <c r="C11" s="7" t="s">
        <v>15</v>
      </c>
      <c r="D11" s="9">
        <v>8</v>
      </c>
      <c r="E11" s="25">
        <v>37259</v>
      </c>
      <c r="F11" s="10">
        <v>41456</v>
      </c>
      <c r="G11" s="11">
        <f t="shared" si="2"/>
        <v>137</v>
      </c>
      <c r="H11" s="19">
        <v>11.02</v>
      </c>
      <c r="I11" s="19">
        <f t="shared" si="3"/>
        <v>319.21000000000004</v>
      </c>
      <c r="J11" s="20">
        <f>197+15</f>
        <v>212</v>
      </c>
      <c r="K11" s="20">
        <v>312.66000000000003</v>
      </c>
      <c r="L11" s="28">
        <f t="shared" si="4"/>
        <v>107.21000000000004</v>
      </c>
      <c r="M11" s="21">
        <f>88+15</f>
        <v>103</v>
      </c>
      <c r="N11" s="49">
        <v>39448</v>
      </c>
      <c r="O11" s="41">
        <f>DATEDIF(N11,F11,"m")</f>
        <v>66</v>
      </c>
      <c r="P11" s="41">
        <f t="shared" si="10"/>
        <v>153.78</v>
      </c>
      <c r="Q11" s="53">
        <f t="shared" si="0"/>
        <v>153.78</v>
      </c>
      <c r="R11" s="20">
        <f t="shared" si="6"/>
        <v>50.78</v>
      </c>
      <c r="S11" s="20">
        <f t="shared" si="7"/>
        <v>109</v>
      </c>
      <c r="T11" s="20">
        <v>28000</v>
      </c>
      <c r="U11" s="30">
        <f t="shared" si="1"/>
        <v>98691.945205479482</v>
      </c>
      <c r="V11" s="32">
        <f t="shared" si="8"/>
        <v>46745.424657534248</v>
      </c>
    </row>
    <row r="12" spans="1:22" ht="29.25" customHeight="1" x14ac:dyDescent="0.15">
      <c r="A12" s="7" t="s">
        <v>8</v>
      </c>
      <c r="B12" s="7" t="s">
        <v>10</v>
      </c>
      <c r="C12" s="8" t="s">
        <v>128</v>
      </c>
      <c r="D12" s="9">
        <v>140</v>
      </c>
      <c r="E12" s="25">
        <v>41143</v>
      </c>
      <c r="F12" s="10">
        <v>41456</v>
      </c>
      <c r="G12" s="11">
        <f t="shared" si="2"/>
        <v>10</v>
      </c>
      <c r="H12" s="19">
        <v>7.0000000000000007E-2</v>
      </c>
      <c r="I12" s="19">
        <f t="shared" si="3"/>
        <v>23.3</v>
      </c>
      <c r="J12" s="20">
        <v>7</v>
      </c>
      <c r="K12" s="20">
        <v>16.309999999999999</v>
      </c>
      <c r="L12" s="28">
        <f t="shared" si="4"/>
        <v>16.3</v>
      </c>
      <c r="M12" s="21">
        <v>7</v>
      </c>
      <c r="N12" s="47">
        <f t="shared" si="9"/>
        <v>41143</v>
      </c>
      <c r="O12" s="41">
        <f t="shared" ref="O12" si="11">DATEDIF(N12,F12,"m")</f>
        <v>10</v>
      </c>
      <c r="P12" s="41">
        <f t="shared" si="10"/>
        <v>23.3</v>
      </c>
      <c r="Q12" s="53">
        <f t="shared" si="0"/>
        <v>23.3</v>
      </c>
      <c r="R12" s="20">
        <f t="shared" si="6"/>
        <v>16.3</v>
      </c>
      <c r="S12" s="20">
        <f t="shared" si="7"/>
        <v>0</v>
      </c>
      <c r="T12" s="20">
        <v>12000</v>
      </c>
      <c r="U12" s="30">
        <f t="shared" si="1"/>
        <v>6430.6849315068494</v>
      </c>
      <c r="V12" s="32">
        <f t="shared" si="8"/>
        <v>6430.6849315068494</v>
      </c>
    </row>
    <row r="13" spans="1:22" ht="29.25" customHeight="1" x14ac:dyDescent="0.15">
      <c r="A13" s="7" t="s">
        <v>32</v>
      </c>
      <c r="B13" s="7" t="s">
        <v>33</v>
      </c>
      <c r="C13" s="7" t="s">
        <v>17</v>
      </c>
      <c r="D13" s="9">
        <v>13</v>
      </c>
      <c r="E13" s="25">
        <v>37773</v>
      </c>
      <c r="F13" s="10">
        <v>41456</v>
      </c>
      <c r="G13" s="11">
        <f t="shared" si="2"/>
        <v>121</v>
      </c>
      <c r="H13" s="19">
        <v>9.1</v>
      </c>
      <c r="I13" s="19">
        <f t="shared" si="3"/>
        <v>281.93</v>
      </c>
      <c r="J13" s="20">
        <v>128</v>
      </c>
      <c r="K13" s="20">
        <v>275.3</v>
      </c>
      <c r="L13" s="28">
        <f t="shared" si="4"/>
        <v>153.93</v>
      </c>
      <c r="M13" s="21">
        <v>74</v>
      </c>
      <c r="N13" s="49">
        <v>39448</v>
      </c>
      <c r="O13" s="41">
        <f>DATEDIF(N13,F13,"m")</f>
        <v>66</v>
      </c>
      <c r="P13" s="41">
        <f t="shared" si="10"/>
        <v>153.78</v>
      </c>
      <c r="Q13" s="53">
        <f t="shared" si="0"/>
        <v>153.78</v>
      </c>
      <c r="R13" s="20">
        <f t="shared" si="6"/>
        <v>79.78</v>
      </c>
      <c r="S13" s="20">
        <f t="shared" si="7"/>
        <v>54</v>
      </c>
      <c r="T13" s="20">
        <v>18000</v>
      </c>
      <c r="U13" s="30">
        <f t="shared" si="1"/>
        <v>91092.821917808222</v>
      </c>
      <c r="V13" s="32">
        <f t="shared" si="8"/>
        <v>47212.273972602743</v>
      </c>
    </row>
    <row r="14" spans="1:22" ht="29.25" customHeight="1" x14ac:dyDescent="0.15">
      <c r="A14" s="7" t="s">
        <v>32</v>
      </c>
      <c r="B14" s="7" t="s">
        <v>18</v>
      </c>
      <c r="C14" s="7" t="s">
        <v>53</v>
      </c>
      <c r="D14" s="9">
        <v>57</v>
      </c>
      <c r="E14" s="25">
        <v>39456</v>
      </c>
      <c r="F14" s="10">
        <v>41456</v>
      </c>
      <c r="G14" s="11">
        <f t="shared" si="2"/>
        <v>65</v>
      </c>
      <c r="H14" s="20">
        <v>5.0199999999999996</v>
      </c>
      <c r="I14" s="19">
        <f t="shared" si="3"/>
        <v>151.45000000000002</v>
      </c>
      <c r="J14" s="20">
        <v>114</v>
      </c>
      <c r="K14" s="20">
        <v>144.66</v>
      </c>
      <c r="L14" s="28">
        <f t="shared" si="4"/>
        <v>37.450000000000017</v>
      </c>
      <c r="M14" s="21">
        <v>57</v>
      </c>
      <c r="N14" s="49">
        <v>39448</v>
      </c>
      <c r="O14" s="41">
        <f>DATEDIF(E14,F14,"m")</f>
        <v>65</v>
      </c>
      <c r="P14" s="41">
        <f t="shared" si="10"/>
        <v>151.45000000000002</v>
      </c>
      <c r="Q14" s="53">
        <f t="shared" si="0"/>
        <v>151.45000000000002</v>
      </c>
      <c r="R14" s="20">
        <f t="shared" si="6"/>
        <v>94.450000000000017</v>
      </c>
      <c r="S14" s="20">
        <f t="shared" si="7"/>
        <v>57</v>
      </c>
      <c r="T14" s="20">
        <v>12000</v>
      </c>
      <c r="U14" s="30">
        <f t="shared" si="1"/>
        <v>14774.794520547952</v>
      </c>
      <c r="V14" s="32">
        <f t="shared" si="8"/>
        <v>37262.465753424665</v>
      </c>
    </row>
    <row r="15" spans="1:22" ht="29.25" customHeight="1" x14ac:dyDescent="0.15">
      <c r="A15" s="7" t="s">
        <v>32</v>
      </c>
      <c r="B15" s="7" t="s">
        <v>18</v>
      </c>
      <c r="C15" s="7" t="s">
        <v>54</v>
      </c>
      <c r="D15" s="9">
        <v>111</v>
      </c>
      <c r="E15" s="25">
        <v>40603</v>
      </c>
      <c r="F15" s="10">
        <v>41456</v>
      </c>
      <c r="G15" s="11">
        <f t="shared" si="2"/>
        <v>28</v>
      </c>
      <c r="H15" s="20">
        <v>2.0099999999999998</v>
      </c>
      <c r="I15" s="19">
        <f t="shared" si="3"/>
        <v>65.240000000000009</v>
      </c>
      <c r="J15" s="20">
        <v>56</v>
      </c>
      <c r="K15" s="20">
        <v>58.33</v>
      </c>
      <c r="L15" s="28">
        <f t="shared" si="4"/>
        <v>9.2400000000000091</v>
      </c>
      <c r="M15" s="21">
        <v>56</v>
      </c>
      <c r="N15" s="47">
        <f t="shared" ref="N15" si="12">E15</f>
        <v>40603</v>
      </c>
      <c r="O15" s="41">
        <f t="shared" ref="O15" si="13">DATEDIF(N15,F15,"m")</f>
        <v>28</v>
      </c>
      <c r="P15" s="41">
        <f t="shared" si="10"/>
        <v>65.240000000000009</v>
      </c>
      <c r="Q15" s="53">
        <f t="shared" si="0"/>
        <v>65.240000000000009</v>
      </c>
      <c r="R15" s="20">
        <f t="shared" si="6"/>
        <v>9.2400000000000091</v>
      </c>
      <c r="S15" s="20">
        <f t="shared" si="7"/>
        <v>0</v>
      </c>
      <c r="T15" s="20">
        <v>12000</v>
      </c>
      <c r="U15" s="30">
        <f t="shared" si="1"/>
        <v>3645.3698630137019</v>
      </c>
      <c r="V15" s="32">
        <f t="shared" si="8"/>
        <v>3645.3698630137019</v>
      </c>
    </row>
    <row r="16" spans="1:22" ht="29.25" customHeight="1" x14ac:dyDescent="0.15">
      <c r="A16" s="7" t="s">
        <v>32</v>
      </c>
      <c r="B16" s="7" t="s">
        <v>18</v>
      </c>
      <c r="C16" s="7" t="s">
        <v>55</v>
      </c>
      <c r="D16" s="9">
        <v>50</v>
      </c>
      <c r="E16" s="25">
        <v>39387</v>
      </c>
      <c r="F16" s="10">
        <v>41456</v>
      </c>
      <c r="G16" s="11">
        <f t="shared" si="2"/>
        <v>68</v>
      </c>
      <c r="H16" s="20">
        <v>5.05</v>
      </c>
      <c r="I16" s="19">
        <f t="shared" si="3"/>
        <v>158.44</v>
      </c>
      <c r="J16" s="20">
        <v>112</v>
      </c>
      <c r="K16" s="20">
        <v>151.65</v>
      </c>
      <c r="L16" s="28">
        <f t="shared" si="4"/>
        <v>46.44</v>
      </c>
      <c r="M16" s="21">
        <v>42</v>
      </c>
      <c r="N16" s="49">
        <v>39448</v>
      </c>
      <c r="O16" s="41">
        <f>DATEDIF(N16,F16,"m")</f>
        <v>66</v>
      </c>
      <c r="P16" s="41">
        <f t="shared" si="10"/>
        <v>153.78</v>
      </c>
      <c r="Q16" s="53">
        <f t="shared" si="0"/>
        <v>153.78</v>
      </c>
      <c r="R16" s="20">
        <f t="shared" si="6"/>
        <v>111.78</v>
      </c>
      <c r="S16" s="20">
        <f t="shared" si="7"/>
        <v>70</v>
      </c>
      <c r="T16" s="20">
        <v>12000</v>
      </c>
      <c r="U16" s="30">
        <f t="shared" si="1"/>
        <v>18321.534246575342</v>
      </c>
      <c r="V16" s="32">
        <f t="shared" si="8"/>
        <v>44099.506849315068</v>
      </c>
    </row>
    <row r="17" spans="1:22" ht="29.25" customHeight="1" x14ac:dyDescent="0.15">
      <c r="A17" s="7" t="s">
        <v>32</v>
      </c>
      <c r="B17" s="7" t="s">
        <v>18</v>
      </c>
      <c r="C17" s="7" t="s">
        <v>56</v>
      </c>
      <c r="D17" s="9">
        <v>90</v>
      </c>
      <c r="E17" s="25">
        <v>40238</v>
      </c>
      <c r="F17" s="10">
        <v>41456</v>
      </c>
      <c r="G17" s="11">
        <f t="shared" si="2"/>
        <v>40</v>
      </c>
      <c r="H17" s="20">
        <v>3.01</v>
      </c>
      <c r="I17" s="19">
        <f t="shared" si="3"/>
        <v>93.2</v>
      </c>
      <c r="J17" s="20">
        <v>28</v>
      </c>
      <c r="K17" s="20">
        <v>86.33</v>
      </c>
      <c r="L17" s="28">
        <f t="shared" si="4"/>
        <v>65.2</v>
      </c>
      <c r="M17" s="21">
        <v>21</v>
      </c>
      <c r="N17" s="47">
        <f t="shared" ref="N17:N18" si="14">E17</f>
        <v>40238</v>
      </c>
      <c r="O17" s="41">
        <f t="shared" ref="O17:O18" si="15">DATEDIF(N17,F17,"m")</f>
        <v>40</v>
      </c>
      <c r="P17" s="41">
        <f t="shared" si="10"/>
        <v>93.2</v>
      </c>
      <c r="Q17" s="53">
        <f t="shared" si="0"/>
        <v>93.2</v>
      </c>
      <c r="R17" s="20">
        <f t="shared" si="6"/>
        <v>72.2</v>
      </c>
      <c r="S17" s="20">
        <f t="shared" si="7"/>
        <v>7</v>
      </c>
      <c r="T17" s="20">
        <v>12000</v>
      </c>
      <c r="U17" s="30">
        <f t="shared" si="1"/>
        <v>25722.739726027397</v>
      </c>
      <c r="V17" s="32">
        <f t="shared" si="8"/>
        <v>28484.383561643837</v>
      </c>
    </row>
    <row r="18" spans="1:22" ht="29.25" customHeight="1" x14ac:dyDescent="0.15">
      <c r="A18" s="7" t="s">
        <v>32</v>
      </c>
      <c r="B18" s="7" t="s">
        <v>18</v>
      </c>
      <c r="C18" s="12" t="s">
        <v>52</v>
      </c>
      <c r="D18" s="9">
        <v>141</v>
      </c>
      <c r="E18" s="25">
        <v>41155</v>
      </c>
      <c r="F18" s="10">
        <v>41456</v>
      </c>
      <c r="G18" s="11">
        <f t="shared" si="2"/>
        <v>9</v>
      </c>
      <c r="H18" s="20">
        <v>0.06</v>
      </c>
      <c r="I18" s="19">
        <f t="shared" si="3"/>
        <v>20.97</v>
      </c>
      <c r="J18" s="20">
        <v>14</v>
      </c>
      <c r="K18" s="20">
        <v>13.98</v>
      </c>
      <c r="L18" s="28">
        <f t="shared" si="4"/>
        <v>6.9699999999999989</v>
      </c>
      <c r="M18" s="21">
        <v>14</v>
      </c>
      <c r="N18" s="47">
        <f t="shared" si="14"/>
        <v>41155</v>
      </c>
      <c r="O18" s="41">
        <f t="shared" si="15"/>
        <v>9</v>
      </c>
      <c r="P18" s="41">
        <f t="shared" si="10"/>
        <v>20.97</v>
      </c>
      <c r="Q18" s="53">
        <f t="shared" si="0"/>
        <v>20.97</v>
      </c>
      <c r="R18" s="20">
        <f t="shared" si="6"/>
        <v>6.9699999999999989</v>
      </c>
      <c r="S18" s="20">
        <f t="shared" si="7"/>
        <v>0</v>
      </c>
      <c r="T18" s="20">
        <v>12000</v>
      </c>
      <c r="U18" s="30">
        <f t="shared" si="1"/>
        <v>2749.8082191780818</v>
      </c>
      <c r="V18" s="32">
        <f t="shared" si="8"/>
        <v>2749.8082191780818</v>
      </c>
    </row>
    <row r="19" spans="1:22" ht="29.25" customHeight="1" x14ac:dyDescent="0.15">
      <c r="A19" s="7" t="s">
        <v>34</v>
      </c>
      <c r="B19" s="7" t="s">
        <v>21</v>
      </c>
      <c r="C19" s="7" t="s">
        <v>20</v>
      </c>
      <c r="D19" s="9">
        <v>39</v>
      </c>
      <c r="E19" s="25">
        <v>39052</v>
      </c>
      <c r="F19" s="10">
        <v>41456</v>
      </c>
      <c r="G19" s="11">
        <f t="shared" si="2"/>
        <v>79</v>
      </c>
      <c r="H19" s="20">
        <v>6.04</v>
      </c>
      <c r="I19" s="19">
        <f t="shared" si="3"/>
        <v>184.07</v>
      </c>
      <c r="J19" s="20">
        <f>164+14</f>
        <v>178</v>
      </c>
      <c r="K19" s="20">
        <v>177.32</v>
      </c>
      <c r="L19" s="28">
        <f t="shared" si="4"/>
        <v>6.0699999999999932</v>
      </c>
      <c r="M19" s="21">
        <f>118+14</f>
        <v>132</v>
      </c>
      <c r="N19" s="49">
        <v>39448</v>
      </c>
      <c r="O19" s="41">
        <f>DATEDIF(N19,F19,"m")</f>
        <v>66</v>
      </c>
      <c r="P19" s="41">
        <f t="shared" si="10"/>
        <v>153.78</v>
      </c>
      <c r="Q19" s="53">
        <f t="shared" si="0"/>
        <v>153.78</v>
      </c>
      <c r="R19" s="20">
        <f t="shared" si="6"/>
        <v>21.78</v>
      </c>
      <c r="S19" s="20">
        <f t="shared" si="7"/>
        <v>46</v>
      </c>
      <c r="T19" s="20">
        <v>13000</v>
      </c>
      <c r="U19" s="30">
        <f t="shared" si="1"/>
        <v>2594.3013698630107</v>
      </c>
      <c r="V19" s="32">
        <f t="shared" si="8"/>
        <v>9308.7123287671238</v>
      </c>
    </row>
    <row r="20" spans="1:22" ht="29.25" customHeight="1" x14ac:dyDescent="0.15">
      <c r="A20" s="7" t="s">
        <v>30</v>
      </c>
      <c r="B20" s="7" t="s">
        <v>22</v>
      </c>
      <c r="C20" s="7" t="s">
        <v>23</v>
      </c>
      <c r="D20" s="9">
        <v>19</v>
      </c>
      <c r="E20" s="25">
        <v>38166</v>
      </c>
      <c r="F20" s="10">
        <v>41456</v>
      </c>
      <c r="G20" s="11">
        <f t="shared" si="2"/>
        <v>108</v>
      </c>
      <c r="H20" s="20">
        <v>8.09</v>
      </c>
      <c r="I20" s="19">
        <f t="shared" si="3"/>
        <v>251.64000000000001</v>
      </c>
      <c r="J20" s="20">
        <v>109</v>
      </c>
      <c r="K20" s="20">
        <v>244.97</v>
      </c>
      <c r="L20" s="28">
        <f t="shared" si="4"/>
        <v>142.64000000000001</v>
      </c>
      <c r="M20" s="21">
        <v>70</v>
      </c>
      <c r="N20" s="49">
        <v>39448</v>
      </c>
      <c r="O20" s="41">
        <f>DATEDIF(N20,F20,"m")</f>
        <v>66</v>
      </c>
      <c r="P20" s="41">
        <f t="shared" si="10"/>
        <v>153.78</v>
      </c>
      <c r="Q20" s="53">
        <f t="shared" si="0"/>
        <v>153.78</v>
      </c>
      <c r="R20" s="20">
        <f t="shared" si="6"/>
        <v>83.78</v>
      </c>
      <c r="S20" s="42"/>
      <c r="T20" s="20">
        <v>24000</v>
      </c>
      <c r="U20" s="30">
        <f t="shared" si="1"/>
        <v>112548.82191780822</v>
      </c>
      <c r="V20" s="32">
        <f t="shared" si="8"/>
        <v>66105.863013698632</v>
      </c>
    </row>
    <row r="21" spans="1:22" ht="29.25" customHeight="1" x14ac:dyDescent="0.15">
      <c r="A21" s="7" t="s">
        <v>30</v>
      </c>
      <c r="B21" s="7" t="s">
        <v>24</v>
      </c>
      <c r="C21" s="7" t="s">
        <v>25</v>
      </c>
      <c r="D21" s="9">
        <v>113</v>
      </c>
      <c r="E21" s="25">
        <v>40623</v>
      </c>
      <c r="F21" s="10">
        <v>41456</v>
      </c>
      <c r="G21" s="11">
        <f t="shared" si="2"/>
        <v>27</v>
      </c>
      <c r="H21" s="19">
        <v>2</v>
      </c>
      <c r="I21" s="19">
        <f t="shared" si="3"/>
        <v>62.910000000000004</v>
      </c>
      <c r="J21" s="20">
        <v>63</v>
      </c>
      <c r="K21" s="20">
        <v>56</v>
      </c>
      <c r="L21" s="28">
        <f t="shared" si="4"/>
        <v>-8.9999999999996305E-2</v>
      </c>
      <c r="M21" s="21">
        <v>58</v>
      </c>
      <c r="N21" s="47">
        <f t="shared" ref="N21:N22" si="16">E21</f>
        <v>40623</v>
      </c>
      <c r="O21" s="41">
        <f t="shared" ref="O21:O22" si="17">DATEDIF(N21,F21,"m")</f>
        <v>27</v>
      </c>
      <c r="P21" s="41">
        <f t="shared" si="10"/>
        <v>62.910000000000004</v>
      </c>
      <c r="Q21" s="53">
        <f t="shared" si="0"/>
        <v>62.910000000000004</v>
      </c>
      <c r="R21" s="20">
        <f t="shared" si="6"/>
        <v>4.9100000000000037</v>
      </c>
      <c r="S21" s="20">
        <f t="shared" si="7"/>
        <v>5</v>
      </c>
      <c r="T21" s="20">
        <v>13000</v>
      </c>
      <c r="U21" s="30">
        <f t="shared" si="1"/>
        <v>-38.465753424655958</v>
      </c>
      <c r="V21" s="32">
        <f t="shared" si="8"/>
        <v>2098.520547945207</v>
      </c>
    </row>
    <row r="22" spans="1:22" ht="29.25" customHeight="1" x14ac:dyDescent="0.15">
      <c r="A22" s="7" t="s">
        <v>30</v>
      </c>
      <c r="B22" s="7" t="s">
        <v>24</v>
      </c>
      <c r="C22" s="7" t="s">
        <v>57</v>
      </c>
      <c r="D22" s="9">
        <v>154</v>
      </c>
      <c r="E22" s="25">
        <v>41309</v>
      </c>
      <c r="F22" s="10">
        <v>41456</v>
      </c>
      <c r="G22" s="11">
        <f t="shared" si="2"/>
        <v>4</v>
      </c>
      <c r="H22" s="20">
        <v>0.01</v>
      </c>
      <c r="I22" s="19">
        <f t="shared" si="3"/>
        <v>9.32</v>
      </c>
      <c r="J22" s="20">
        <f>1+7</f>
        <v>8</v>
      </c>
      <c r="K22" s="20">
        <v>0</v>
      </c>
      <c r="L22" s="28">
        <f t="shared" si="4"/>
        <v>1.3200000000000003</v>
      </c>
      <c r="M22" s="21">
        <f>1+7</f>
        <v>8</v>
      </c>
      <c r="N22" s="47">
        <f t="shared" si="16"/>
        <v>41309</v>
      </c>
      <c r="O22" s="41">
        <f t="shared" si="17"/>
        <v>4</v>
      </c>
      <c r="P22" s="41">
        <f t="shared" si="10"/>
        <v>9.32</v>
      </c>
      <c r="Q22" s="53">
        <f t="shared" si="0"/>
        <v>9.32</v>
      </c>
      <c r="R22" s="20">
        <f t="shared" si="6"/>
        <v>1.3200000000000003</v>
      </c>
      <c r="S22" s="20">
        <f t="shared" si="7"/>
        <v>0</v>
      </c>
      <c r="T22" s="20">
        <v>13000</v>
      </c>
      <c r="U22" s="30">
        <f t="shared" si="1"/>
        <v>564.16438356164394</v>
      </c>
      <c r="V22" s="32">
        <f t="shared" si="8"/>
        <v>564.16438356164394</v>
      </c>
    </row>
    <row r="23" spans="1:22" ht="29.25" customHeight="1" x14ac:dyDescent="0.15">
      <c r="A23" s="7" t="s">
        <v>30</v>
      </c>
      <c r="B23" s="7" t="s">
        <v>24</v>
      </c>
      <c r="C23" s="7" t="s">
        <v>29</v>
      </c>
      <c r="D23" s="9">
        <v>53</v>
      </c>
      <c r="E23" s="25">
        <v>39419</v>
      </c>
      <c r="F23" s="10">
        <v>41456</v>
      </c>
      <c r="G23" s="11">
        <f t="shared" si="2"/>
        <v>66</v>
      </c>
      <c r="H23" s="20">
        <v>5.03</v>
      </c>
      <c r="I23" s="19">
        <f t="shared" si="3"/>
        <v>153.78</v>
      </c>
      <c r="J23" s="20">
        <f>143+1</f>
        <v>144</v>
      </c>
      <c r="K23" s="20">
        <v>146.99</v>
      </c>
      <c r="L23" s="28">
        <f t="shared" si="4"/>
        <v>9.7800000000000011</v>
      </c>
      <c r="M23" s="21">
        <f>117+1</f>
        <v>118</v>
      </c>
      <c r="N23" s="49">
        <v>39448</v>
      </c>
      <c r="O23" s="41">
        <f>DATEDIF(N23,F23,"m")</f>
        <v>66</v>
      </c>
      <c r="P23" s="41">
        <f>O23*2.33</f>
        <v>153.78</v>
      </c>
      <c r="Q23" s="53">
        <f t="shared" si="0"/>
        <v>153.78</v>
      </c>
      <c r="R23" s="20">
        <f t="shared" si="6"/>
        <v>35.78</v>
      </c>
      <c r="S23" s="42"/>
      <c r="T23" s="20">
        <v>13000</v>
      </c>
      <c r="U23" s="30">
        <f t="shared" si="1"/>
        <v>4179.9452054794529</v>
      </c>
      <c r="V23" s="32">
        <f t="shared" si="8"/>
        <v>15292.273972602741</v>
      </c>
    </row>
    <row r="24" spans="1:22" ht="29.25" customHeight="1" x14ac:dyDescent="0.15">
      <c r="A24" s="7" t="s">
        <v>35</v>
      </c>
      <c r="B24" s="7" t="s">
        <v>127</v>
      </c>
      <c r="C24" s="7" t="s">
        <v>28</v>
      </c>
      <c r="D24" s="9">
        <v>137</v>
      </c>
      <c r="E24" s="25">
        <v>41106</v>
      </c>
      <c r="F24" s="10">
        <v>41456</v>
      </c>
      <c r="G24" s="11">
        <f t="shared" si="2"/>
        <v>11</v>
      </c>
      <c r="H24" s="20">
        <v>0.08</v>
      </c>
      <c r="I24" s="19">
        <f t="shared" si="3"/>
        <v>25.630000000000003</v>
      </c>
      <c r="J24" s="20">
        <v>20</v>
      </c>
      <c r="K24" s="20">
        <v>18.64</v>
      </c>
      <c r="L24" s="28">
        <f t="shared" si="4"/>
        <v>5.6300000000000026</v>
      </c>
      <c r="M24" s="20">
        <v>20</v>
      </c>
      <c r="N24" s="47">
        <f t="shared" ref="N24:N29" si="18">E24</f>
        <v>41106</v>
      </c>
      <c r="O24" s="41">
        <f t="shared" ref="O24:O29" si="19">DATEDIF(N24,F24,"m")</f>
        <v>11</v>
      </c>
      <c r="P24" s="41">
        <f t="shared" si="10"/>
        <v>25.630000000000003</v>
      </c>
      <c r="Q24" s="53">
        <f t="shared" si="0"/>
        <v>25.630000000000003</v>
      </c>
      <c r="R24" s="20">
        <f t="shared" si="6"/>
        <v>5.6300000000000026</v>
      </c>
      <c r="S24" s="20">
        <f t="shared" ref="S24:S47" si="20">J24-M24</f>
        <v>0</v>
      </c>
      <c r="T24" s="20">
        <v>13000</v>
      </c>
      <c r="U24" s="30">
        <f t="shared" si="1"/>
        <v>2406.2465753424672</v>
      </c>
      <c r="V24" s="32">
        <f t="shared" si="8"/>
        <v>2406.2465753424672</v>
      </c>
    </row>
    <row r="25" spans="1:22" ht="29.25" customHeight="1" x14ac:dyDescent="0.15">
      <c r="A25" s="7" t="s">
        <v>35</v>
      </c>
      <c r="B25" s="7" t="s">
        <v>27</v>
      </c>
      <c r="C25" s="7" t="s">
        <v>36</v>
      </c>
      <c r="D25" s="9">
        <v>114</v>
      </c>
      <c r="E25" s="25">
        <v>40639</v>
      </c>
      <c r="F25" s="10">
        <v>41456</v>
      </c>
      <c r="G25" s="11">
        <f t="shared" si="2"/>
        <v>26</v>
      </c>
      <c r="H25" s="20">
        <v>1.1100000000000001</v>
      </c>
      <c r="I25" s="19">
        <f t="shared" si="3"/>
        <v>60.58</v>
      </c>
      <c r="J25" s="20">
        <f>45+14</f>
        <v>59</v>
      </c>
      <c r="K25" s="20">
        <v>53.63</v>
      </c>
      <c r="L25" s="28">
        <f t="shared" si="4"/>
        <v>1.5799999999999983</v>
      </c>
      <c r="M25" s="20">
        <f>43+14</f>
        <v>57</v>
      </c>
      <c r="N25" s="47">
        <f t="shared" si="18"/>
        <v>40639</v>
      </c>
      <c r="O25" s="41">
        <f t="shared" si="19"/>
        <v>26</v>
      </c>
      <c r="P25" s="41">
        <f>O25*2.33</f>
        <v>60.58</v>
      </c>
      <c r="Q25" s="53">
        <f t="shared" si="0"/>
        <v>60.58</v>
      </c>
      <c r="R25" s="20">
        <f t="shared" si="6"/>
        <v>3.5799999999999983</v>
      </c>
      <c r="S25" s="20">
        <f t="shared" si="20"/>
        <v>2</v>
      </c>
      <c r="T25" s="20">
        <v>14000</v>
      </c>
      <c r="U25" s="30">
        <f t="shared" si="1"/>
        <v>727.23287671232799</v>
      </c>
      <c r="V25" s="32">
        <f t="shared" si="8"/>
        <v>1647.7808219178073</v>
      </c>
    </row>
    <row r="26" spans="1:22" ht="29.25" customHeight="1" x14ac:dyDescent="0.15">
      <c r="A26" s="13" t="s">
        <v>37</v>
      </c>
      <c r="B26" s="7" t="s">
        <v>38</v>
      </c>
      <c r="C26" s="7" t="s">
        <v>39</v>
      </c>
      <c r="D26" s="9">
        <v>13</v>
      </c>
      <c r="E26" s="25">
        <v>40269</v>
      </c>
      <c r="F26" s="10">
        <v>41456</v>
      </c>
      <c r="G26" s="11">
        <f t="shared" si="2"/>
        <v>39</v>
      </c>
      <c r="H26" s="19">
        <v>3</v>
      </c>
      <c r="I26" s="19">
        <f t="shared" si="3"/>
        <v>90.87</v>
      </c>
      <c r="J26" s="20">
        <v>42</v>
      </c>
      <c r="K26" s="20">
        <v>84</v>
      </c>
      <c r="L26" s="28">
        <f t="shared" si="4"/>
        <v>48.870000000000005</v>
      </c>
      <c r="M26" s="20">
        <v>102</v>
      </c>
      <c r="N26" s="47">
        <f t="shared" si="18"/>
        <v>40269</v>
      </c>
      <c r="O26" s="41">
        <f t="shared" si="19"/>
        <v>39</v>
      </c>
      <c r="P26" s="41">
        <f t="shared" si="10"/>
        <v>90.87</v>
      </c>
      <c r="Q26" s="53">
        <f t="shared" si="0"/>
        <v>90.87</v>
      </c>
      <c r="R26" s="20">
        <f t="shared" si="6"/>
        <v>-11.129999999999995</v>
      </c>
      <c r="S26" s="20">
        <f t="shared" si="20"/>
        <v>-60</v>
      </c>
      <c r="T26" s="20">
        <v>12000</v>
      </c>
      <c r="U26" s="30">
        <f t="shared" si="1"/>
        <v>19280.219178082192</v>
      </c>
      <c r="V26" s="32">
        <f t="shared" si="8"/>
        <v>-4391.013698630135</v>
      </c>
    </row>
    <row r="27" spans="1:22" ht="29.25" customHeight="1" x14ac:dyDescent="0.15">
      <c r="A27" s="13" t="s">
        <v>37</v>
      </c>
      <c r="B27" s="7" t="s">
        <v>121</v>
      </c>
      <c r="C27" s="7" t="s">
        <v>40</v>
      </c>
      <c r="D27" s="9">
        <v>93</v>
      </c>
      <c r="E27" s="25">
        <v>40269</v>
      </c>
      <c r="F27" s="10">
        <v>41456</v>
      </c>
      <c r="G27" s="11">
        <f t="shared" si="2"/>
        <v>39</v>
      </c>
      <c r="H27" s="19">
        <v>3</v>
      </c>
      <c r="I27" s="19">
        <f t="shared" si="3"/>
        <v>90.87</v>
      </c>
      <c r="J27" s="20">
        <f>72+14</f>
        <v>86</v>
      </c>
      <c r="K27" s="20">
        <v>84</v>
      </c>
      <c r="L27" s="28">
        <f t="shared" si="4"/>
        <v>4.8700000000000045</v>
      </c>
      <c r="M27" s="20">
        <f>73+14</f>
        <v>87</v>
      </c>
      <c r="N27" s="47">
        <f t="shared" si="18"/>
        <v>40269</v>
      </c>
      <c r="O27" s="41">
        <f t="shared" si="19"/>
        <v>39</v>
      </c>
      <c r="P27" s="41">
        <f t="shared" si="10"/>
        <v>90.87</v>
      </c>
      <c r="Q27" s="53">
        <f t="shared" si="0"/>
        <v>90.87</v>
      </c>
      <c r="R27" s="20">
        <f t="shared" si="6"/>
        <v>3.8700000000000045</v>
      </c>
      <c r="S27" s="20">
        <f t="shared" si="20"/>
        <v>-1</v>
      </c>
      <c r="T27" s="20">
        <v>13000</v>
      </c>
      <c r="U27" s="30">
        <f t="shared" si="1"/>
        <v>2081.4246575342486</v>
      </c>
      <c r="V27" s="32">
        <f t="shared" si="8"/>
        <v>1654.0273972602761</v>
      </c>
    </row>
    <row r="28" spans="1:22" ht="29.25" customHeight="1" x14ac:dyDescent="0.15">
      <c r="A28" s="13" t="s">
        <v>37</v>
      </c>
      <c r="B28" s="7" t="s">
        <v>121</v>
      </c>
      <c r="C28" s="7" t="s">
        <v>41</v>
      </c>
      <c r="D28" s="9">
        <v>116</v>
      </c>
      <c r="E28" s="25">
        <v>40695</v>
      </c>
      <c r="F28" s="10">
        <v>41456</v>
      </c>
      <c r="G28" s="11">
        <f t="shared" si="2"/>
        <v>25</v>
      </c>
      <c r="H28" s="19">
        <v>1.1000000000000001</v>
      </c>
      <c r="I28" s="19">
        <f t="shared" si="3"/>
        <v>58.25</v>
      </c>
      <c r="J28" s="20">
        <f>28+13</f>
        <v>41</v>
      </c>
      <c r="K28" s="20">
        <v>51.3</v>
      </c>
      <c r="L28" s="28">
        <f t="shared" si="4"/>
        <v>17.25</v>
      </c>
      <c r="M28" s="20">
        <f>29+13</f>
        <v>42</v>
      </c>
      <c r="N28" s="47">
        <f t="shared" si="18"/>
        <v>40695</v>
      </c>
      <c r="O28" s="41">
        <f t="shared" si="19"/>
        <v>25</v>
      </c>
      <c r="P28" s="41">
        <f t="shared" si="10"/>
        <v>58.25</v>
      </c>
      <c r="Q28" s="53">
        <f t="shared" si="0"/>
        <v>58.25</v>
      </c>
      <c r="R28" s="20">
        <f t="shared" si="6"/>
        <v>16.25</v>
      </c>
      <c r="S28" s="20">
        <f t="shared" si="20"/>
        <v>-1</v>
      </c>
      <c r="T28" s="20">
        <v>13000</v>
      </c>
      <c r="U28" s="30">
        <f t="shared" si="1"/>
        <v>7372.6027397260277</v>
      </c>
      <c r="V28" s="32">
        <f t="shared" si="8"/>
        <v>6945.2054794520554</v>
      </c>
    </row>
    <row r="29" spans="1:22" ht="29.25" customHeight="1" x14ac:dyDescent="0.15">
      <c r="A29" s="13" t="s">
        <v>37</v>
      </c>
      <c r="B29" s="7" t="s">
        <v>11</v>
      </c>
      <c r="C29" s="7" t="s">
        <v>42</v>
      </c>
      <c r="D29" s="9">
        <v>143</v>
      </c>
      <c r="E29" s="25">
        <v>41157</v>
      </c>
      <c r="F29" s="10">
        <v>41456</v>
      </c>
      <c r="G29" s="11">
        <f t="shared" si="2"/>
        <v>9</v>
      </c>
      <c r="H29" s="20">
        <v>0.06</v>
      </c>
      <c r="I29" s="19">
        <f t="shared" si="3"/>
        <v>20.97</v>
      </c>
      <c r="J29" s="20">
        <f>5+14</f>
        <v>19</v>
      </c>
      <c r="K29" s="20">
        <v>13.98</v>
      </c>
      <c r="L29" s="28">
        <f t="shared" si="4"/>
        <v>1.9699999999999989</v>
      </c>
      <c r="M29" s="20">
        <f>5+14</f>
        <v>19</v>
      </c>
      <c r="N29" s="47">
        <f t="shared" si="18"/>
        <v>41157</v>
      </c>
      <c r="O29" s="41">
        <f t="shared" si="19"/>
        <v>9</v>
      </c>
      <c r="P29" s="41">
        <f t="shared" si="10"/>
        <v>20.97</v>
      </c>
      <c r="Q29" s="53">
        <f t="shared" si="0"/>
        <v>20.97</v>
      </c>
      <c r="R29" s="20">
        <f t="shared" si="6"/>
        <v>1.9699999999999989</v>
      </c>
      <c r="S29" s="20">
        <f t="shared" si="20"/>
        <v>0</v>
      </c>
      <c r="T29" s="20">
        <v>13000</v>
      </c>
      <c r="U29" s="30">
        <f t="shared" si="1"/>
        <v>841.97260273972563</v>
      </c>
      <c r="V29" s="32">
        <f t="shared" si="8"/>
        <v>841.97260273972563</v>
      </c>
    </row>
    <row r="30" spans="1:22" ht="29.25" customHeight="1" x14ac:dyDescent="0.15">
      <c r="A30" s="13" t="s">
        <v>37</v>
      </c>
      <c r="B30" s="7" t="s">
        <v>13</v>
      </c>
      <c r="C30" s="7" t="s">
        <v>43</v>
      </c>
      <c r="D30" s="9">
        <v>25</v>
      </c>
      <c r="E30" s="25">
        <v>38534</v>
      </c>
      <c r="F30" s="10">
        <v>41456</v>
      </c>
      <c r="G30" s="11">
        <f t="shared" si="2"/>
        <v>96</v>
      </c>
      <c r="H30" s="20">
        <v>7.09</v>
      </c>
      <c r="I30" s="19">
        <f t="shared" si="3"/>
        <v>223.68</v>
      </c>
      <c r="J30" s="20">
        <v>180</v>
      </c>
      <c r="K30" s="20">
        <v>216.97</v>
      </c>
      <c r="L30" s="28">
        <f t="shared" si="4"/>
        <v>43.680000000000007</v>
      </c>
      <c r="M30" s="20">
        <v>154</v>
      </c>
      <c r="N30" s="49">
        <v>39448</v>
      </c>
      <c r="O30" s="41">
        <f>DATEDIF(N30,F30,"m")</f>
        <v>66</v>
      </c>
      <c r="P30" s="41">
        <f>O30*2.33</f>
        <v>153.78</v>
      </c>
      <c r="Q30" s="53">
        <f t="shared" si="0"/>
        <v>153.78</v>
      </c>
      <c r="R30" s="20">
        <f t="shared" si="6"/>
        <v>-0.21999999999999886</v>
      </c>
      <c r="S30" s="20">
        <f t="shared" si="20"/>
        <v>26</v>
      </c>
      <c r="T30" s="20">
        <v>18000</v>
      </c>
      <c r="U30" s="30">
        <f t="shared" si="1"/>
        <v>25848.986301369867</v>
      </c>
      <c r="V30" s="32">
        <f t="shared" si="8"/>
        <v>-130.19178082191715</v>
      </c>
    </row>
    <row r="31" spans="1:22" ht="29.25" customHeight="1" x14ac:dyDescent="0.15">
      <c r="A31" s="13" t="s">
        <v>37</v>
      </c>
      <c r="B31" s="7" t="s">
        <v>121</v>
      </c>
      <c r="C31" s="7" t="s">
        <v>44</v>
      </c>
      <c r="D31" s="9">
        <v>117</v>
      </c>
      <c r="E31" s="25">
        <v>40695</v>
      </c>
      <c r="F31" s="10">
        <v>41456</v>
      </c>
      <c r="G31" s="11">
        <f t="shared" si="2"/>
        <v>25</v>
      </c>
      <c r="H31" s="19">
        <v>1.1000000000000001</v>
      </c>
      <c r="I31" s="19">
        <f t="shared" si="3"/>
        <v>58.25</v>
      </c>
      <c r="J31" s="20">
        <v>39</v>
      </c>
      <c r="K31" s="20">
        <v>51.3</v>
      </c>
      <c r="L31" s="28">
        <f t="shared" si="4"/>
        <v>19.25</v>
      </c>
      <c r="M31" s="20">
        <v>39</v>
      </c>
      <c r="N31" s="47">
        <f t="shared" ref="N31:N37" si="21">E31</f>
        <v>40695</v>
      </c>
      <c r="O31" s="41">
        <f t="shared" ref="O31:O37" si="22">DATEDIF(N31,F31,"m")</f>
        <v>25</v>
      </c>
      <c r="P31" s="41">
        <f t="shared" si="10"/>
        <v>58.25</v>
      </c>
      <c r="Q31" s="53">
        <f t="shared" si="0"/>
        <v>58.25</v>
      </c>
      <c r="R31" s="20">
        <f t="shared" si="6"/>
        <v>19.25</v>
      </c>
      <c r="S31" s="20">
        <f t="shared" si="20"/>
        <v>0</v>
      </c>
      <c r="T31" s="20">
        <v>13000</v>
      </c>
      <c r="U31" s="30">
        <f t="shared" si="1"/>
        <v>8227.3972602739723</v>
      </c>
      <c r="V31" s="32">
        <f t="shared" si="8"/>
        <v>8227.3972602739723</v>
      </c>
    </row>
    <row r="32" spans="1:22" ht="29.25" customHeight="1" x14ac:dyDescent="0.15">
      <c r="A32" s="13" t="s">
        <v>37</v>
      </c>
      <c r="B32" s="7" t="s">
        <v>11</v>
      </c>
      <c r="C32" s="13" t="s">
        <v>49</v>
      </c>
      <c r="D32" s="9">
        <v>149</v>
      </c>
      <c r="E32" s="25">
        <v>41260</v>
      </c>
      <c r="F32" s="10">
        <v>41456</v>
      </c>
      <c r="G32" s="11">
        <f t="shared" si="2"/>
        <v>6</v>
      </c>
      <c r="H32" s="20">
        <v>0.03</v>
      </c>
      <c r="I32" s="19">
        <f t="shared" si="3"/>
        <v>13.98</v>
      </c>
      <c r="J32" s="20">
        <v>0</v>
      </c>
      <c r="K32" s="20">
        <v>6.99</v>
      </c>
      <c r="L32" s="28">
        <f t="shared" si="4"/>
        <v>13.98</v>
      </c>
      <c r="M32" s="20">
        <v>9</v>
      </c>
      <c r="N32" s="47">
        <f t="shared" si="21"/>
        <v>41260</v>
      </c>
      <c r="O32" s="41">
        <f t="shared" si="22"/>
        <v>6</v>
      </c>
      <c r="P32" s="41">
        <f t="shared" si="10"/>
        <v>13.98</v>
      </c>
      <c r="Q32" s="53">
        <f t="shared" si="0"/>
        <v>13.98</v>
      </c>
      <c r="R32" s="20">
        <f t="shared" si="6"/>
        <v>4.9800000000000004</v>
      </c>
      <c r="S32" s="20">
        <f t="shared" si="20"/>
        <v>-9</v>
      </c>
      <c r="T32" s="20">
        <v>13000</v>
      </c>
      <c r="U32" s="30">
        <f t="shared" si="1"/>
        <v>5975.0136986301377</v>
      </c>
      <c r="V32" s="32">
        <f t="shared" si="8"/>
        <v>2128.438356164384</v>
      </c>
    </row>
    <row r="33" spans="1:22" ht="29.25" customHeight="1" x14ac:dyDescent="0.15">
      <c r="A33" s="13" t="s">
        <v>37</v>
      </c>
      <c r="B33" s="7" t="s">
        <v>122</v>
      </c>
      <c r="C33" s="13" t="s">
        <v>50</v>
      </c>
      <c r="D33" s="9">
        <v>153</v>
      </c>
      <c r="E33" s="25">
        <v>41306</v>
      </c>
      <c r="F33" s="10">
        <v>41456</v>
      </c>
      <c r="G33" s="11">
        <f t="shared" si="2"/>
        <v>5</v>
      </c>
      <c r="H33" s="20">
        <v>0.02</v>
      </c>
      <c r="I33" s="19">
        <f t="shared" si="3"/>
        <v>11.65</v>
      </c>
      <c r="J33" s="20">
        <v>0</v>
      </c>
      <c r="K33" s="20">
        <v>4.66</v>
      </c>
      <c r="L33" s="28">
        <f t="shared" si="4"/>
        <v>11.65</v>
      </c>
      <c r="M33" s="20">
        <v>0</v>
      </c>
      <c r="N33" s="47">
        <f t="shared" si="21"/>
        <v>41306</v>
      </c>
      <c r="O33" s="41">
        <f t="shared" si="22"/>
        <v>5</v>
      </c>
      <c r="P33" s="41">
        <f t="shared" si="10"/>
        <v>11.65</v>
      </c>
      <c r="Q33" s="53">
        <f t="shared" si="0"/>
        <v>11.65</v>
      </c>
      <c r="R33" s="20">
        <f t="shared" si="6"/>
        <v>11.65</v>
      </c>
      <c r="S33" s="20">
        <f t="shared" si="20"/>
        <v>0</v>
      </c>
      <c r="T33" s="20">
        <v>13000</v>
      </c>
      <c r="U33" s="30">
        <f t="shared" si="1"/>
        <v>4979.178082191781</v>
      </c>
      <c r="V33" s="32">
        <f t="shared" si="8"/>
        <v>4979.178082191781</v>
      </c>
    </row>
    <row r="34" spans="1:22" ht="29.25" customHeight="1" x14ac:dyDescent="0.15">
      <c r="A34" s="13" t="s">
        <v>37</v>
      </c>
      <c r="B34" s="7" t="s">
        <v>122</v>
      </c>
      <c r="C34" s="14" t="s">
        <v>51</v>
      </c>
      <c r="D34" s="9">
        <v>152</v>
      </c>
      <c r="E34" s="25">
        <v>41288</v>
      </c>
      <c r="F34" s="10">
        <v>41456</v>
      </c>
      <c r="G34" s="11">
        <f t="shared" si="2"/>
        <v>5</v>
      </c>
      <c r="H34" s="20">
        <v>0.02</v>
      </c>
      <c r="I34" s="19">
        <f t="shared" si="3"/>
        <v>11.65</v>
      </c>
      <c r="J34" s="20">
        <v>0</v>
      </c>
      <c r="K34" s="20">
        <v>4.66</v>
      </c>
      <c r="L34" s="28">
        <f t="shared" si="4"/>
        <v>11.65</v>
      </c>
      <c r="M34" s="20">
        <v>0</v>
      </c>
      <c r="N34" s="47">
        <f t="shared" si="21"/>
        <v>41288</v>
      </c>
      <c r="O34" s="41">
        <f t="shared" si="22"/>
        <v>5</v>
      </c>
      <c r="P34" s="41">
        <f t="shared" si="10"/>
        <v>11.65</v>
      </c>
      <c r="Q34" s="53">
        <f t="shared" si="0"/>
        <v>11.65</v>
      </c>
      <c r="R34" s="20">
        <f t="shared" si="6"/>
        <v>11.65</v>
      </c>
      <c r="S34" s="20">
        <f t="shared" si="20"/>
        <v>0</v>
      </c>
      <c r="T34" s="20">
        <v>13000</v>
      </c>
      <c r="U34" s="30">
        <f t="shared" si="1"/>
        <v>4979.178082191781</v>
      </c>
      <c r="V34" s="32">
        <f t="shared" si="8"/>
        <v>4979.178082191781</v>
      </c>
    </row>
    <row r="35" spans="1:22" ht="29.25" customHeight="1" x14ac:dyDescent="0.15">
      <c r="A35" s="7" t="s">
        <v>59</v>
      </c>
      <c r="B35" s="7" t="s">
        <v>38</v>
      </c>
      <c r="C35" s="15" t="s">
        <v>58</v>
      </c>
      <c r="D35" s="16">
        <v>122</v>
      </c>
      <c r="E35" s="25">
        <v>40787</v>
      </c>
      <c r="F35" s="10">
        <v>41456</v>
      </c>
      <c r="G35" s="11">
        <f t="shared" si="2"/>
        <v>22</v>
      </c>
      <c r="H35" s="20">
        <v>1.07</v>
      </c>
      <c r="I35" s="19">
        <f t="shared" si="3"/>
        <v>51.260000000000005</v>
      </c>
      <c r="J35" s="20">
        <v>62</v>
      </c>
      <c r="K35" s="20">
        <v>44.31</v>
      </c>
      <c r="L35" s="28">
        <f t="shared" si="4"/>
        <v>-10.739999999999995</v>
      </c>
      <c r="M35" s="20">
        <v>61</v>
      </c>
      <c r="N35" s="47">
        <f t="shared" si="21"/>
        <v>40787</v>
      </c>
      <c r="O35" s="41">
        <f t="shared" si="22"/>
        <v>22</v>
      </c>
      <c r="P35" s="41">
        <f t="shared" si="10"/>
        <v>51.260000000000005</v>
      </c>
      <c r="Q35" s="53">
        <f t="shared" si="0"/>
        <v>51.260000000000005</v>
      </c>
      <c r="R35" s="20">
        <f t="shared" si="6"/>
        <v>-9.7399999999999949</v>
      </c>
      <c r="S35" s="20">
        <f t="shared" si="20"/>
        <v>1</v>
      </c>
      <c r="T35" s="20">
        <v>12000</v>
      </c>
      <c r="U35" s="30">
        <f t="shared" si="1"/>
        <v>-4237.1506849315047</v>
      </c>
      <c r="V35" s="32">
        <f t="shared" si="8"/>
        <v>-3842.630136986299</v>
      </c>
    </row>
    <row r="36" spans="1:22" ht="29.25" customHeight="1" x14ac:dyDescent="0.15">
      <c r="A36" s="7" t="s">
        <v>59</v>
      </c>
      <c r="B36" s="7" t="s">
        <v>11</v>
      </c>
      <c r="C36" s="7" t="s">
        <v>60</v>
      </c>
      <c r="D36" s="9">
        <v>84</v>
      </c>
      <c r="E36" s="25">
        <v>40136</v>
      </c>
      <c r="F36" s="10">
        <v>41456</v>
      </c>
      <c r="G36" s="11">
        <f t="shared" si="2"/>
        <v>43</v>
      </c>
      <c r="H36" s="20">
        <v>3.04</v>
      </c>
      <c r="I36" s="19">
        <f t="shared" si="3"/>
        <v>100.19</v>
      </c>
      <c r="J36" s="20">
        <v>58</v>
      </c>
      <c r="K36" s="20">
        <v>93.32</v>
      </c>
      <c r="L36" s="28">
        <f t="shared" si="4"/>
        <v>42.19</v>
      </c>
      <c r="M36" s="20">
        <v>94</v>
      </c>
      <c r="N36" s="47">
        <f t="shared" si="21"/>
        <v>40136</v>
      </c>
      <c r="O36" s="41">
        <f t="shared" si="22"/>
        <v>43</v>
      </c>
      <c r="P36" s="41">
        <f t="shared" si="10"/>
        <v>100.19</v>
      </c>
      <c r="Q36" s="53">
        <f t="shared" si="0"/>
        <v>100.19</v>
      </c>
      <c r="R36" s="20">
        <f t="shared" si="6"/>
        <v>6.1899999999999977</v>
      </c>
      <c r="S36" s="20">
        <f t="shared" si="20"/>
        <v>-36</v>
      </c>
      <c r="T36" s="20">
        <v>13000</v>
      </c>
      <c r="U36" s="30">
        <f t="shared" si="1"/>
        <v>18031.890410958902</v>
      </c>
      <c r="V36" s="32">
        <f t="shared" si="8"/>
        <v>2645.5890410958896</v>
      </c>
    </row>
    <row r="37" spans="1:22" ht="29.25" customHeight="1" x14ac:dyDescent="0.15">
      <c r="A37" s="7" t="s">
        <v>59</v>
      </c>
      <c r="B37" s="7" t="s">
        <v>13</v>
      </c>
      <c r="C37" s="7" t="s">
        <v>61</v>
      </c>
      <c r="D37" s="9">
        <v>82</v>
      </c>
      <c r="E37" s="25">
        <v>40119</v>
      </c>
      <c r="F37" s="10">
        <v>41456</v>
      </c>
      <c r="G37" s="11">
        <f t="shared" si="2"/>
        <v>43</v>
      </c>
      <c r="H37" s="20">
        <v>3.05</v>
      </c>
      <c r="I37" s="19">
        <f t="shared" si="3"/>
        <v>100.19</v>
      </c>
      <c r="J37" s="20">
        <f>66+1+14</f>
        <v>81</v>
      </c>
      <c r="K37" s="20">
        <v>95.65</v>
      </c>
      <c r="L37" s="28">
        <f t="shared" si="4"/>
        <v>19.189999999999998</v>
      </c>
      <c r="M37" s="20">
        <f>91+1+14</f>
        <v>106</v>
      </c>
      <c r="N37" s="47">
        <f t="shared" si="21"/>
        <v>40119</v>
      </c>
      <c r="O37" s="41">
        <f t="shared" si="22"/>
        <v>43</v>
      </c>
      <c r="P37" s="41">
        <f t="shared" si="10"/>
        <v>100.19</v>
      </c>
      <c r="Q37" s="53">
        <f t="shared" si="0"/>
        <v>100.19</v>
      </c>
      <c r="R37" s="20">
        <f t="shared" si="6"/>
        <v>-5.8100000000000023</v>
      </c>
      <c r="S37" s="20">
        <f t="shared" si="20"/>
        <v>-25</v>
      </c>
      <c r="T37" s="20">
        <v>18000</v>
      </c>
      <c r="U37" s="30">
        <f t="shared" si="1"/>
        <v>11356.273972602739</v>
      </c>
      <c r="V37" s="32">
        <f t="shared" si="8"/>
        <v>-3438.2465753424672</v>
      </c>
    </row>
    <row r="38" spans="1:22" ht="29.25" customHeight="1" x14ac:dyDescent="0.15">
      <c r="A38" s="7" t="s">
        <v>59</v>
      </c>
      <c r="B38" s="7" t="s">
        <v>27</v>
      </c>
      <c r="C38" s="7" t="s">
        <v>62</v>
      </c>
      <c r="D38" s="9">
        <v>18</v>
      </c>
      <c r="E38" s="25">
        <v>38215</v>
      </c>
      <c r="F38" s="10">
        <v>41456</v>
      </c>
      <c r="G38" s="11">
        <f t="shared" si="2"/>
        <v>106</v>
      </c>
      <c r="H38" s="20">
        <v>8.07</v>
      </c>
      <c r="I38" s="19">
        <f t="shared" si="3"/>
        <v>246.98000000000002</v>
      </c>
      <c r="J38" s="20">
        <v>202</v>
      </c>
      <c r="K38" s="20">
        <v>240.31</v>
      </c>
      <c r="L38" s="28">
        <f t="shared" si="4"/>
        <v>44.980000000000018</v>
      </c>
      <c r="M38" s="20">
        <v>140</v>
      </c>
      <c r="N38" s="49">
        <v>39448</v>
      </c>
      <c r="O38" s="41">
        <f>DATEDIF(N38,F38,"m")</f>
        <v>66</v>
      </c>
      <c r="P38" s="41">
        <f t="shared" si="10"/>
        <v>153.78</v>
      </c>
      <c r="Q38" s="53">
        <f t="shared" si="0"/>
        <v>153.78</v>
      </c>
      <c r="R38" s="20">
        <f t="shared" si="6"/>
        <v>13.780000000000001</v>
      </c>
      <c r="S38" s="20">
        <f t="shared" si="20"/>
        <v>62</v>
      </c>
      <c r="T38" s="20">
        <v>14000</v>
      </c>
      <c r="U38" s="30">
        <f t="shared" si="1"/>
        <v>20703.123287671242</v>
      </c>
      <c r="V38" s="32">
        <f t="shared" si="8"/>
        <v>6342.5753424657541</v>
      </c>
    </row>
    <row r="39" spans="1:22" ht="29.25" customHeight="1" x14ac:dyDescent="0.15">
      <c r="A39" s="7" t="s">
        <v>59</v>
      </c>
      <c r="B39" s="7" t="s">
        <v>11</v>
      </c>
      <c r="C39" s="7" t="s">
        <v>63</v>
      </c>
      <c r="D39" s="9">
        <v>104</v>
      </c>
      <c r="E39" s="25">
        <v>40469</v>
      </c>
      <c r="F39" s="10">
        <v>41456</v>
      </c>
      <c r="G39" s="11">
        <f t="shared" si="2"/>
        <v>32</v>
      </c>
      <c r="H39" s="20">
        <v>2.0499999999999998</v>
      </c>
      <c r="I39" s="19">
        <f t="shared" si="3"/>
        <v>74.56</v>
      </c>
      <c r="J39" s="20">
        <v>56</v>
      </c>
      <c r="K39" s="20">
        <v>67.650000000000006</v>
      </c>
      <c r="L39" s="28">
        <f t="shared" si="4"/>
        <v>18.560000000000002</v>
      </c>
      <c r="M39" s="20">
        <v>56</v>
      </c>
      <c r="N39" s="47">
        <f t="shared" ref="N39:N40" si="23">E39</f>
        <v>40469</v>
      </c>
      <c r="O39" s="41">
        <f t="shared" ref="O39:O40" si="24">DATEDIF(N39,F39,"m")</f>
        <v>32</v>
      </c>
      <c r="P39" s="41">
        <f t="shared" si="10"/>
        <v>74.56</v>
      </c>
      <c r="Q39" s="53">
        <f t="shared" si="0"/>
        <v>74.56</v>
      </c>
      <c r="R39" s="20">
        <f t="shared" si="6"/>
        <v>18.560000000000002</v>
      </c>
      <c r="S39" s="20">
        <f t="shared" si="20"/>
        <v>0</v>
      </c>
      <c r="T39" s="20">
        <v>13000</v>
      </c>
      <c r="U39" s="30">
        <f t="shared" si="1"/>
        <v>7932.4931506849325</v>
      </c>
      <c r="V39" s="32">
        <f t="shared" si="8"/>
        <v>7932.4931506849325</v>
      </c>
    </row>
    <row r="40" spans="1:22" ht="29.25" customHeight="1" x14ac:dyDescent="0.15">
      <c r="A40" s="7" t="s">
        <v>59</v>
      </c>
      <c r="B40" s="7" t="s">
        <v>122</v>
      </c>
      <c r="C40" s="7" t="s">
        <v>64</v>
      </c>
      <c r="D40" s="9">
        <v>150</v>
      </c>
      <c r="E40" s="25">
        <v>41283</v>
      </c>
      <c r="F40" s="10">
        <v>41456</v>
      </c>
      <c r="G40" s="11">
        <f t="shared" si="2"/>
        <v>5</v>
      </c>
      <c r="H40" s="20">
        <v>0.02</v>
      </c>
      <c r="I40" s="19">
        <f t="shared" si="3"/>
        <v>11.65</v>
      </c>
      <c r="J40" s="20">
        <f>1+1+14+1+1</f>
        <v>18</v>
      </c>
      <c r="K40" s="20">
        <v>4.66</v>
      </c>
      <c r="L40" s="28">
        <f t="shared" si="4"/>
        <v>-6.35</v>
      </c>
      <c r="M40" s="20">
        <f>1+1+14</f>
        <v>16</v>
      </c>
      <c r="N40" s="47">
        <f t="shared" si="23"/>
        <v>41283</v>
      </c>
      <c r="O40" s="41">
        <f t="shared" si="24"/>
        <v>5</v>
      </c>
      <c r="P40" s="41">
        <f>O40*2.33</f>
        <v>11.65</v>
      </c>
      <c r="Q40" s="53">
        <f t="shared" si="0"/>
        <v>11.65</v>
      </c>
      <c r="R40" s="20">
        <f t="shared" si="6"/>
        <v>-4.3499999999999996</v>
      </c>
      <c r="S40" s="20">
        <f t="shared" si="20"/>
        <v>2</v>
      </c>
      <c r="T40" s="20">
        <v>13000</v>
      </c>
      <c r="U40" s="30">
        <f t="shared" si="1"/>
        <v>-2713.972602739726</v>
      </c>
      <c r="V40" s="32">
        <f t="shared" si="8"/>
        <v>-1859.1780821917807</v>
      </c>
    </row>
    <row r="41" spans="1:22" ht="29.25" customHeight="1" x14ac:dyDescent="0.15">
      <c r="A41" s="7" t="s">
        <v>65</v>
      </c>
      <c r="B41" s="7" t="s">
        <v>66</v>
      </c>
      <c r="C41" s="7" t="s">
        <v>67</v>
      </c>
      <c r="D41" s="9">
        <v>31</v>
      </c>
      <c r="E41" s="25">
        <v>38727</v>
      </c>
      <c r="F41" s="10">
        <v>41456</v>
      </c>
      <c r="G41" s="11">
        <f t="shared" si="2"/>
        <v>89</v>
      </c>
      <c r="H41" s="20">
        <v>7.02</v>
      </c>
      <c r="I41" s="19">
        <f t="shared" si="3"/>
        <v>207.37</v>
      </c>
      <c r="J41" s="20">
        <v>176</v>
      </c>
      <c r="K41" s="20">
        <v>200.66</v>
      </c>
      <c r="L41" s="28">
        <f t="shared" si="4"/>
        <v>31.370000000000005</v>
      </c>
      <c r="M41" s="20">
        <v>123</v>
      </c>
      <c r="N41" s="49">
        <v>39448</v>
      </c>
      <c r="O41" s="41">
        <f>DATEDIF(N41,F41,"m")</f>
        <v>66</v>
      </c>
      <c r="P41" s="41">
        <f t="shared" si="10"/>
        <v>153.78</v>
      </c>
      <c r="Q41" s="53">
        <f t="shared" si="0"/>
        <v>153.78</v>
      </c>
      <c r="R41" s="20">
        <f t="shared" si="6"/>
        <v>30.78</v>
      </c>
      <c r="S41" s="20">
        <f t="shared" si="20"/>
        <v>53</v>
      </c>
      <c r="T41" s="20">
        <v>18000</v>
      </c>
      <c r="U41" s="30">
        <f t="shared" si="1"/>
        <v>18564.164383561645</v>
      </c>
      <c r="V41" s="32">
        <f t="shared" si="8"/>
        <v>18215.013698630137</v>
      </c>
    </row>
    <row r="42" spans="1:22" ht="29.25" customHeight="1" x14ac:dyDescent="0.15">
      <c r="A42" s="7" t="s">
        <v>65</v>
      </c>
      <c r="B42" s="7" t="s">
        <v>68</v>
      </c>
      <c r="C42" s="7" t="s">
        <v>69</v>
      </c>
      <c r="D42" s="9">
        <v>127</v>
      </c>
      <c r="E42" s="25">
        <v>40918</v>
      </c>
      <c r="F42" s="10">
        <v>41456</v>
      </c>
      <c r="G42" s="11">
        <f t="shared" si="2"/>
        <v>17</v>
      </c>
      <c r="H42" s="20">
        <v>1.02</v>
      </c>
      <c r="I42" s="19">
        <f t="shared" si="3"/>
        <v>39.61</v>
      </c>
      <c r="J42" s="20">
        <v>27</v>
      </c>
      <c r="K42" s="20">
        <v>32.659999999999997</v>
      </c>
      <c r="L42" s="28">
        <f t="shared" si="4"/>
        <v>12.61</v>
      </c>
      <c r="M42" s="20">
        <v>25</v>
      </c>
      <c r="N42" s="47">
        <f t="shared" ref="N42" si="25">E42</f>
        <v>40918</v>
      </c>
      <c r="O42" s="41">
        <f t="shared" ref="O42" si="26">DATEDIF(N42,F42,"m")</f>
        <v>17</v>
      </c>
      <c r="P42" s="41">
        <f t="shared" si="10"/>
        <v>39.61</v>
      </c>
      <c r="Q42" s="53">
        <f t="shared" si="0"/>
        <v>39.61</v>
      </c>
      <c r="R42" s="20">
        <f t="shared" si="6"/>
        <v>14.61</v>
      </c>
      <c r="S42" s="20">
        <f t="shared" si="20"/>
        <v>2</v>
      </c>
      <c r="T42" s="20">
        <v>12000</v>
      </c>
      <c r="U42" s="30">
        <f t="shared" si="1"/>
        <v>4974.9041095890407</v>
      </c>
      <c r="V42" s="32">
        <f t="shared" si="8"/>
        <v>5763.9452054794519</v>
      </c>
    </row>
    <row r="43" spans="1:22" ht="29.25" customHeight="1" x14ac:dyDescent="0.15">
      <c r="A43" s="7" t="s">
        <v>65</v>
      </c>
      <c r="B43" s="7" t="s">
        <v>68</v>
      </c>
      <c r="C43" s="7" t="s">
        <v>70</v>
      </c>
      <c r="D43" s="9">
        <v>58</v>
      </c>
      <c r="E43" s="25">
        <v>39479</v>
      </c>
      <c r="F43" s="10">
        <v>41456</v>
      </c>
      <c r="G43" s="11">
        <f t="shared" si="2"/>
        <v>65</v>
      </c>
      <c r="H43" s="20">
        <v>5.0199999999999996</v>
      </c>
      <c r="I43" s="19">
        <f t="shared" si="3"/>
        <v>151.45000000000002</v>
      </c>
      <c r="J43" s="20">
        <f>143+10</f>
        <v>153</v>
      </c>
      <c r="K43" s="20">
        <v>144.66</v>
      </c>
      <c r="L43" s="28">
        <f t="shared" si="4"/>
        <v>-1.5499999999999829</v>
      </c>
      <c r="M43" s="20">
        <f>145+10</f>
        <v>155</v>
      </c>
      <c r="N43" s="49">
        <v>39448</v>
      </c>
      <c r="O43" s="41">
        <f>DATEDIF(E43,F43,"m")</f>
        <v>65</v>
      </c>
      <c r="P43" s="41">
        <f t="shared" si="10"/>
        <v>151.45000000000002</v>
      </c>
      <c r="Q43" s="53">
        <f t="shared" si="0"/>
        <v>151.45000000000002</v>
      </c>
      <c r="R43" s="20">
        <f t="shared" si="6"/>
        <v>-3.5499999999999829</v>
      </c>
      <c r="S43" s="20">
        <f t="shared" si="20"/>
        <v>-2</v>
      </c>
      <c r="T43" s="20">
        <v>12000</v>
      </c>
      <c r="U43" s="30">
        <f t="shared" si="1"/>
        <v>-611.50684931506169</v>
      </c>
      <c r="V43" s="32">
        <f t="shared" si="8"/>
        <v>-1400.5479452054726</v>
      </c>
    </row>
    <row r="44" spans="1:22" ht="29.25" customHeight="1" x14ac:dyDescent="0.15">
      <c r="A44" s="7" t="s">
        <v>65</v>
      </c>
      <c r="B44" s="7" t="s">
        <v>68</v>
      </c>
      <c r="C44" s="7" t="s">
        <v>71</v>
      </c>
      <c r="D44" s="9">
        <v>96</v>
      </c>
      <c r="E44" s="25">
        <v>40360</v>
      </c>
      <c r="F44" s="10">
        <v>41456</v>
      </c>
      <c r="G44" s="11">
        <f t="shared" si="2"/>
        <v>36</v>
      </c>
      <c r="H44" s="20">
        <v>2.09</v>
      </c>
      <c r="I44" s="19">
        <f t="shared" si="3"/>
        <v>83.88</v>
      </c>
      <c r="J44" s="20">
        <f>42+13</f>
        <v>55</v>
      </c>
      <c r="K44" s="20">
        <v>76.97</v>
      </c>
      <c r="L44" s="28">
        <f t="shared" si="4"/>
        <v>28.879999999999995</v>
      </c>
      <c r="M44" s="20">
        <f>54+13</f>
        <v>67</v>
      </c>
      <c r="N44" s="47">
        <f t="shared" ref="N44:N46" si="27">E44</f>
        <v>40360</v>
      </c>
      <c r="O44" s="41">
        <f t="shared" ref="O44:O46" si="28">DATEDIF(N44,F44,"m")</f>
        <v>36</v>
      </c>
      <c r="P44" s="41">
        <f t="shared" si="10"/>
        <v>83.88</v>
      </c>
      <c r="Q44" s="53">
        <f t="shared" si="0"/>
        <v>83.88</v>
      </c>
      <c r="R44" s="20">
        <f t="shared" si="6"/>
        <v>16.879999999999995</v>
      </c>
      <c r="S44" s="20">
        <f t="shared" si="20"/>
        <v>-12</v>
      </c>
      <c r="T44" s="20">
        <v>12000</v>
      </c>
      <c r="U44" s="30">
        <f t="shared" si="1"/>
        <v>11393.753424657532</v>
      </c>
      <c r="V44" s="32">
        <f t="shared" si="8"/>
        <v>6659.5068493150666</v>
      </c>
    </row>
    <row r="45" spans="1:22" ht="29.25" customHeight="1" x14ac:dyDescent="0.15">
      <c r="A45" s="7" t="s">
        <v>65</v>
      </c>
      <c r="B45" s="7" t="s">
        <v>68</v>
      </c>
      <c r="C45" s="7" t="s">
        <v>72</v>
      </c>
      <c r="D45" s="9">
        <v>133</v>
      </c>
      <c r="E45" s="25">
        <v>41001</v>
      </c>
      <c r="F45" s="10">
        <v>41456</v>
      </c>
      <c r="G45" s="11">
        <f t="shared" si="2"/>
        <v>14</v>
      </c>
      <c r="H45" s="19">
        <v>1</v>
      </c>
      <c r="I45" s="19">
        <f t="shared" si="3"/>
        <v>32.620000000000005</v>
      </c>
      <c r="J45" s="20">
        <v>10</v>
      </c>
      <c r="K45" s="20">
        <v>28</v>
      </c>
      <c r="L45" s="28">
        <f t="shared" si="4"/>
        <v>22.620000000000005</v>
      </c>
      <c r="M45" s="20">
        <v>16</v>
      </c>
      <c r="N45" s="47">
        <f t="shared" si="27"/>
        <v>41001</v>
      </c>
      <c r="O45" s="41">
        <f t="shared" si="28"/>
        <v>14</v>
      </c>
      <c r="P45" s="41">
        <f t="shared" si="10"/>
        <v>32.620000000000005</v>
      </c>
      <c r="Q45" s="53">
        <f t="shared" si="0"/>
        <v>32.620000000000005</v>
      </c>
      <c r="R45" s="20">
        <f t="shared" si="6"/>
        <v>16.620000000000005</v>
      </c>
      <c r="S45" s="20">
        <f t="shared" si="20"/>
        <v>-6</v>
      </c>
      <c r="T45" s="20">
        <v>12000</v>
      </c>
      <c r="U45" s="30">
        <f t="shared" si="1"/>
        <v>8924.054794520549</v>
      </c>
      <c r="V45" s="32">
        <f t="shared" si="8"/>
        <v>6556.931506849317</v>
      </c>
    </row>
    <row r="46" spans="1:22" ht="29.25" customHeight="1" x14ac:dyDescent="0.15">
      <c r="A46" s="7" t="s">
        <v>65</v>
      </c>
      <c r="B46" s="7" t="s">
        <v>73</v>
      </c>
      <c r="C46" s="7" t="s">
        <v>74</v>
      </c>
      <c r="D46" s="9">
        <v>135</v>
      </c>
      <c r="E46" s="25">
        <v>41067</v>
      </c>
      <c r="F46" s="10">
        <v>41456</v>
      </c>
      <c r="G46" s="11">
        <f t="shared" si="2"/>
        <v>12</v>
      </c>
      <c r="H46" s="20">
        <v>0.09</v>
      </c>
      <c r="I46" s="19">
        <f t="shared" si="3"/>
        <v>27.96</v>
      </c>
      <c r="J46" s="20">
        <v>21</v>
      </c>
      <c r="K46" s="20">
        <v>20.97</v>
      </c>
      <c r="L46" s="28">
        <f t="shared" si="4"/>
        <v>6.9600000000000009</v>
      </c>
      <c r="M46" s="20">
        <v>29</v>
      </c>
      <c r="N46" s="47">
        <f t="shared" si="27"/>
        <v>41067</v>
      </c>
      <c r="O46" s="41">
        <f t="shared" si="28"/>
        <v>12</v>
      </c>
      <c r="P46" s="41">
        <f>O46*2.33</f>
        <v>27.96</v>
      </c>
      <c r="Q46" s="53">
        <f t="shared" si="0"/>
        <v>27.96</v>
      </c>
      <c r="R46" s="20">
        <f t="shared" si="6"/>
        <v>-1.0399999999999991</v>
      </c>
      <c r="S46" s="20">
        <f t="shared" si="20"/>
        <v>-8</v>
      </c>
      <c r="T46" s="20">
        <v>13000</v>
      </c>
      <c r="U46" s="30">
        <f t="shared" si="1"/>
        <v>2974.6849315068498</v>
      </c>
      <c r="V46" s="32">
        <f t="shared" si="8"/>
        <v>-444.49315068493115</v>
      </c>
    </row>
    <row r="47" spans="1:22" ht="29.25" customHeight="1" x14ac:dyDescent="0.15">
      <c r="A47" s="7" t="s">
        <v>65</v>
      </c>
      <c r="B47" s="7" t="s">
        <v>75</v>
      </c>
      <c r="C47" s="7" t="s">
        <v>76</v>
      </c>
      <c r="D47" s="9">
        <v>43</v>
      </c>
      <c r="E47" s="25">
        <v>39234</v>
      </c>
      <c r="F47" s="10">
        <v>41456</v>
      </c>
      <c r="G47" s="11">
        <f t="shared" si="2"/>
        <v>73</v>
      </c>
      <c r="H47" s="19">
        <v>5.0999999999999996</v>
      </c>
      <c r="I47" s="19">
        <f t="shared" si="3"/>
        <v>170.09</v>
      </c>
      <c r="J47" s="20">
        <v>155</v>
      </c>
      <c r="K47" s="20">
        <v>163.30000000000001</v>
      </c>
      <c r="L47" s="28">
        <f t="shared" si="4"/>
        <v>15.090000000000003</v>
      </c>
      <c r="M47" s="20">
        <v>157</v>
      </c>
      <c r="N47" s="49">
        <v>39448</v>
      </c>
      <c r="O47" s="41">
        <f>DATEDIF(N47,F47,"m")</f>
        <v>66</v>
      </c>
      <c r="P47" s="41">
        <f t="shared" si="10"/>
        <v>153.78</v>
      </c>
      <c r="Q47" s="53">
        <f t="shared" si="0"/>
        <v>153.78</v>
      </c>
      <c r="R47" s="20">
        <f t="shared" si="6"/>
        <v>-3.2199999999999989</v>
      </c>
      <c r="S47" s="20">
        <f t="shared" si="20"/>
        <v>-2</v>
      </c>
      <c r="T47" s="20">
        <v>12000</v>
      </c>
      <c r="U47" s="30">
        <f t="shared" si="1"/>
        <v>5953.3150684931516</v>
      </c>
      <c r="V47" s="32">
        <f t="shared" si="8"/>
        <v>-1270.3561643835612</v>
      </c>
    </row>
    <row r="48" spans="1:22" ht="29.25" customHeight="1" x14ac:dyDescent="0.15">
      <c r="A48" s="13" t="s">
        <v>77</v>
      </c>
      <c r="B48" s="17" t="s">
        <v>78</v>
      </c>
      <c r="C48" s="7" t="s">
        <v>79</v>
      </c>
      <c r="D48" s="9">
        <v>3</v>
      </c>
      <c r="E48" s="25">
        <v>37622</v>
      </c>
      <c r="F48" s="10">
        <v>41456</v>
      </c>
      <c r="G48" s="11">
        <f t="shared" si="2"/>
        <v>126</v>
      </c>
      <c r="H48" s="20">
        <v>10.029999999999999</v>
      </c>
      <c r="I48" s="19">
        <f t="shared" si="3"/>
        <v>293.58</v>
      </c>
      <c r="J48" s="20">
        <v>259</v>
      </c>
      <c r="K48" s="20">
        <v>286.99</v>
      </c>
      <c r="L48" s="28">
        <f t="shared" si="4"/>
        <v>34.579999999999984</v>
      </c>
      <c r="M48" s="20">
        <v>123</v>
      </c>
      <c r="N48" s="49">
        <v>39448</v>
      </c>
      <c r="O48" s="41">
        <f>DATEDIF(N48,F48,"m")</f>
        <v>66</v>
      </c>
      <c r="P48" s="41">
        <f t="shared" si="10"/>
        <v>153.78</v>
      </c>
      <c r="Q48" s="53">
        <f t="shared" si="0"/>
        <v>153.78</v>
      </c>
      <c r="R48" s="20">
        <f t="shared" si="6"/>
        <v>30.78</v>
      </c>
      <c r="S48" s="42"/>
      <c r="T48" s="20">
        <v>20000</v>
      </c>
      <c r="U48" s="30">
        <f t="shared" si="1"/>
        <v>22737.534246575331</v>
      </c>
      <c r="V48" s="32">
        <f t="shared" si="8"/>
        <v>20238.904109589039</v>
      </c>
    </row>
    <row r="49" spans="1:22" ht="29.25" customHeight="1" x14ac:dyDescent="0.15">
      <c r="A49" s="13" t="s">
        <v>77</v>
      </c>
      <c r="B49" s="22" t="s">
        <v>80</v>
      </c>
      <c r="C49" s="12" t="s">
        <v>81</v>
      </c>
      <c r="D49" s="9">
        <v>36</v>
      </c>
      <c r="E49" s="25">
        <v>38930</v>
      </c>
      <c r="F49" s="10">
        <v>41456</v>
      </c>
      <c r="G49" s="11">
        <f t="shared" si="2"/>
        <v>83</v>
      </c>
      <c r="H49" s="20">
        <v>6.08</v>
      </c>
      <c r="I49" s="19">
        <f t="shared" si="3"/>
        <v>193.39000000000001</v>
      </c>
      <c r="J49" s="20">
        <f>136+1</f>
        <v>137</v>
      </c>
      <c r="K49" s="20">
        <v>186.64</v>
      </c>
      <c r="L49" s="28">
        <f t="shared" si="4"/>
        <v>56.390000000000015</v>
      </c>
      <c r="M49" s="20">
        <f>126+1</f>
        <v>127</v>
      </c>
      <c r="N49" s="49">
        <v>39448</v>
      </c>
      <c r="O49" s="41">
        <f>DATEDIF(N49,F49,"m")</f>
        <v>66</v>
      </c>
      <c r="P49" s="41">
        <f t="shared" si="10"/>
        <v>153.78</v>
      </c>
      <c r="Q49" s="53">
        <f t="shared" si="0"/>
        <v>153.78</v>
      </c>
      <c r="R49" s="20">
        <f t="shared" si="6"/>
        <v>26.78</v>
      </c>
      <c r="S49" s="20">
        <f t="shared" ref="S49:S55" si="29">J49-M49</f>
        <v>10</v>
      </c>
      <c r="T49" s="20">
        <v>13000</v>
      </c>
      <c r="U49" s="30">
        <f t="shared" si="1"/>
        <v>24100.931506849323</v>
      </c>
      <c r="V49" s="32">
        <f t="shared" si="8"/>
        <v>11445.698630136987</v>
      </c>
    </row>
    <row r="50" spans="1:22" ht="29.25" customHeight="1" x14ac:dyDescent="0.15">
      <c r="A50" s="13" t="s">
        <v>77</v>
      </c>
      <c r="B50" s="7" t="s">
        <v>80</v>
      </c>
      <c r="C50" s="7" t="s">
        <v>82</v>
      </c>
      <c r="D50" s="9">
        <v>63</v>
      </c>
      <c r="E50" s="25">
        <v>39572</v>
      </c>
      <c r="F50" s="10">
        <v>41456</v>
      </c>
      <c r="G50" s="11">
        <f t="shared" si="2"/>
        <v>61</v>
      </c>
      <c r="H50" s="19">
        <v>4.0999999999999996</v>
      </c>
      <c r="I50" s="19">
        <f t="shared" si="3"/>
        <v>142.13</v>
      </c>
      <c r="J50" s="20">
        <v>35</v>
      </c>
      <c r="K50" s="20">
        <v>135.30000000000001</v>
      </c>
      <c r="L50" s="28">
        <f t="shared" si="4"/>
        <v>107.13</v>
      </c>
      <c r="M50" s="20">
        <v>32</v>
      </c>
      <c r="N50" s="49">
        <v>39448</v>
      </c>
      <c r="O50" s="41">
        <f>DATEDIF(E50,F50,"m")</f>
        <v>61</v>
      </c>
      <c r="P50" s="41">
        <f t="shared" si="10"/>
        <v>142.13</v>
      </c>
      <c r="Q50" s="53">
        <f t="shared" si="0"/>
        <v>142.13</v>
      </c>
      <c r="R50" s="20">
        <f t="shared" si="6"/>
        <v>110.13</v>
      </c>
      <c r="S50" s="20">
        <f t="shared" si="29"/>
        <v>3</v>
      </c>
      <c r="T50" s="20">
        <v>13000</v>
      </c>
      <c r="U50" s="30">
        <f t="shared" si="1"/>
        <v>45787.068493150684</v>
      </c>
      <c r="V50" s="32">
        <f t="shared" si="8"/>
        <v>47069.260273972606</v>
      </c>
    </row>
    <row r="51" spans="1:22" ht="29.25" customHeight="1" x14ac:dyDescent="0.15">
      <c r="A51" s="13" t="s">
        <v>77</v>
      </c>
      <c r="B51" s="7" t="s">
        <v>80</v>
      </c>
      <c r="C51" s="7" t="s">
        <v>83</v>
      </c>
      <c r="D51" s="9">
        <v>144</v>
      </c>
      <c r="E51" s="25">
        <v>41183</v>
      </c>
      <c r="F51" s="10">
        <v>41456</v>
      </c>
      <c r="G51" s="11">
        <f t="shared" si="2"/>
        <v>9</v>
      </c>
      <c r="H51" s="20">
        <v>0.06</v>
      </c>
      <c r="I51" s="19">
        <f t="shared" si="3"/>
        <v>20.97</v>
      </c>
      <c r="J51" s="20">
        <v>0</v>
      </c>
      <c r="K51" s="20">
        <v>13.98</v>
      </c>
      <c r="L51" s="28">
        <f t="shared" si="4"/>
        <v>20.97</v>
      </c>
      <c r="M51" s="20">
        <v>0</v>
      </c>
      <c r="N51" s="47">
        <f t="shared" ref="N51:N52" si="30">E51</f>
        <v>41183</v>
      </c>
      <c r="O51" s="41">
        <f t="shared" ref="O51:O53" si="31">DATEDIF(N51,F51,"m")</f>
        <v>9</v>
      </c>
      <c r="P51" s="41">
        <f t="shared" si="10"/>
        <v>20.97</v>
      </c>
      <c r="Q51" s="53">
        <f t="shared" si="0"/>
        <v>20.97</v>
      </c>
      <c r="R51" s="20">
        <f t="shared" si="6"/>
        <v>20.97</v>
      </c>
      <c r="S51" s="20">
        <f t="shared" si="29"/>
        <v>0</v>
      </c>
      <c r="T51" s="20">
        <v>13000</v>
      </c>
      <c r="U51" s="30">
        <f t="shared" si="1"/>
        <v>8962.5205479452052</v>
      </c>
      <c r="V51" s="32">
        <f t="shared" si="8"/>
        <v>8962.5205479452052</v>
      </c>
    </row>
    <row r="52" spans="1:22" ht="29.25" customHeight="1" x14ac:dyDescent="0.15">
      <c r="A52" s="13" t="s">
        <v>77</v>
      </c>
      <c r="B52" s="7" t="s">
        <v>80</v>
      </c>
      <c r="C52" s="7" t="s">
        <v>84</v>
      </c>
      <c r="D52" s="9">
        <v>145</v>
      </c>
      <c r="E52" s="25">
        <v>41183</v>
      </c>
      <c r="F52" s="10">
        <v>41456</v>
      </c>
      <c r="G52" s="11">
        <f t="shared" si="2"/>
        <v>9</v>
      </c>
      <c r="H52" s="20">
        <v>0.06</v>
      </c>
      <c r="I52" s="19">
        <f t="shared" si="3"/>
        <v>20.97</v>
      </c>
      <c r="J52" s="20">
        <v>0</v>
      </c>
      <c r="K52" s="20">
        <v>13.98</v>
      </c>
      <c r="L52" s="28">
        <f t="shared" si="4"/>
        <v>20.97</v>
      </c>
      <c r="M52" s="20">
        <v>0</v>
      </c>
      <c r="N52" s="47">
        <f t="shared" si="30"/>
        <v>41183</v>
      </c>
      <c r="O52" s="41">
        <f t="shared" si="31"/>
        <v>9</v>
      </c>
      <c r="P52" s="41">
        <f>O52*2.33</f>
        <v>20.97</v>
      </c>
      <c r="Q52" s="53">
        <f t="shared" si="0"/>
        <v>20.97</v>
      </c>
      <c r="R52" s="20">
        <f t="shared" si="6"/>
        <v>20.97</v>
      </c>
      <c r="S52" s="20">
        <f t="shared" si="29"/>
        <v>0</v>
      </c>
      <c r="T52" s="20">
        <v>13000</v>
      </c>
      <c r="U52" s="30">
        <f t="shared" si="1"/>
        <v>8962.5205479452052</v>
      </c>
      <c r="V52" s="32">
        <f t="shared" si="8"/>
        <v>8962.5205479452052</v>
      </c>
    </row>
    <row r="53" spans="1:22" ht="29.25" customHeight="1" x14ac:dyDescent="0.15">
      <c r="A53" s="13" t="s">
        <v>77</v>
      </c>
      <c r="B53" s="7" t="s">
        <v>80</v>
      </c>
      <c r="C53" s="7" t="s">
        <v>132</v>
      </c>
      <c r="D53" s="9"/>
      <c r="E53" s="25">
        <v>41429</v>
      </c>
      <c r="F53" s="10">
        <v>41456</v>
      </c>
      <c r="G53" s="11">
        <f t="shared" si="2"/>
        <v>0</v>
      </c>
      <c r="H53" s="20">
        <v>0.06</v>
      </c>
      <c r="I53" s="19">
        <f t="shared" si="3"/>
        <v>0</v>
      </c>
      <c r="J53" s="20">
        <v>0</v>
      </c>
      <c r="K53" s="20">
        <v>13.98</v>
      </c>
      <c r="L53" s="28">
        <f t="shared" si="4"/>
        <v>0</v>
      </c>
      <c r="M53" s="20"/>
      <c r="N53" s="49">
        <v>41429</v>
      </c>
      <c r="O53" s="41">
        <f t="shared" si="31"/>
        <v>0</v>
      </c>
      <c r="P53" s="41">
        <f>O53*2.33</f>
        <v>0</v>
      </c>
      <c r="Q53" s="53">
        <f t="shared" si="0"/>
        <v>0</v>
      </c>
      <c r="R53" s="20"/>
      <c r="S53" s="20">
        <f t="shared" si="29"/>
        <v>0</v>
      </c>
      <c r="T53" s="20">
        <v>12000</v>
      </c>
      <c r="U53" s="30">
        <f t="shared" ref="U53" si="32">((T53*12)/365)*L53</f>
        <v>0</v>
      </c>
      <c r="V53" s="32">
        <f t="shared" ref="V53" si="33">((T53*12)/365)*R53</f>
        <v>0</v>
      </c>
    </row>
    <row r="54" spans="1:22" ht="29.25" customHeight="1" x14ac:dyDescent="0.15">
      <c r="A54" s="13" t="s">
        <v>77</v>
      </c>
      <c r="B54" s="7" t="s">
        <v>80</v>
      </c>
      <c r="C54" s="7" t="s">
        <v>129</v>
      </c>
      <c r="D54" s="9"/>
      <c r="E54" s="25">
        <v>41365</v>
      </c>
      <c r="F54" s="10">
        <v>41456</v>
      </c>
      <c r="G54" s="11">
        <f t="shared" si="2"/>
        <v>3</v>
      </c>
      <c r="H54" s="20">
        <v>0.02</v>
      </c>
      <c r="I54" s="19">
        <f t="shared" si="3"/>
        <v>6.99</v>
      </c>
      <c r="J54" s="20">
        <v>0</v>
      </c>
      <c r="K54" s="20">
        <v>135.30000000000001</v>
      </c>
      <c r="L54" s="28">
        <f t="shared" si="4"/>
        <v>6.99</v>
      </c>
      <c r="M54" s="20"/>
      <c r="N54" s="47">
        <f t="shared" ref="N54:N55" si="34">E54</f>
        <v>41365</v>
      </c>
      <c r="O54" s="41">
        <f t="shared" ref="O54" si="35">DATEDIF(E54,F54,"m")</f>
        <v>3</v>
      </c>
      <c r="P54" s="41">
        <f t="shared" si="10"/>
        <v>6.99</v>
      </c>
      <c r="Q54" s="53">
        <f t="shared" si="0"/>
        <v>6.99</v>
      </c>
      <c r="R54" s="20">
        <f t="shared" si="6"/>
        <v>6.99</v>
      </c>
      <c r="S54" s="20">
        <f t="shared" si="29"/>
        <v>0</v>
      </c>
      <c r="T54" s="20">
        <v>13000</v>
      </c>
      <c r="U54" s="30">
        <f t="shared" si="1"/>
        <v>2987.5068493150688</v>
      </c>
      <c r="V54" s="32">
        <f t="shared" si="8"/>
        <v>2987.5068493150688</v>
      </c>
    </row>
    <row r="55" spans="1:22" ht="29.25" customHeight="1" x14ac:dyDescent="0.15">
      <c r="A55" s="13" t="s">
        <v>37</v>
      </c>
      <c r="B55" s="7" t="s">
        <v>122</v>
      </c>
      <c r="C55" s="7" t="s">
        <v>131</v>
      </c>
      <c r="D55" s="9"/>
      <c r="E55" s="26">
        <v>41393</v>
      </c>
      <c r="F55" s="10">
        <v>41456</v>
      </c>
      <c r="G55" s="11">
        <f t="shared" si="2"/>
        <v>2</v>
      </c>
      <c r="H55" s="20">
        <v>0.02</v>
      </c>
      <c r="I55" s="19">
        <f t="shared" si="3"/>
        <v>4.66</v>
      </c>
      <c r="J55" s="20">
        <v>0</v>
      </c>
      <c r="K55" s="20">
        <v>4.66</v>
      </c>
      <c r="L55" s="28">
        <f t="shared" si="4"/>
        <v>4.66</v>
      </c>
      <c r="M55" s="20"/>
      <c r="N55" s="47">
        <f t="shared" si="34"/>
        <v>41393</v>
      </c>
      <c r="O55" s="41">
        <f t="shared" ref="O55" si="36">DATEDIF(N55,F55,"m")</f>
        <v>2</v>
      </c>
      <c r="P55" s="41">
        <f t="shared" si="10"/>
        <v>4.66</v>
      </c>
      <c r="Q55" s="53">
        <f t="shared" si="0"/>
        <v>4.66</v>
      </c>
      <c r="R55" s="20">
        <f t="shared" si="6"/>
        <v>4.66</v>
      </c>
      <c r="S55" s="20">
        <f t="shared" si="29"/>
        <v>0</v>
      </c>
      <c r="T55" s="20">
        <v>13000</v>
      </c>
      <c r="U55" s="30">
        <f t="shared" si="1"/>
        <v>1991.6712328767126</v>
      </c>
      <c r="V55" s="32">
        <f t="shared" si="8"/>
        <v>1991.6712328767126</v>
      </c>
    </row>
    <row r="56" spans="1:22" x14ac:dyDescent="0.15">
      <c r="A56" s="17"/>
      <c r="E56" s="27"/>
      <c r="F56" s="23"/>
      <c r="G56" s="23"/>
      <c r="H56" s="23"/>
      <c r="I56" s="23"/>
      <c r="J56" s="23"/>
      <c r="K56" s="23"/>
      <c r="L56" s="27"/>
      <c r="M56" s="23"/>
      <c r="N56" s="48"/>
      <c r="O56" s="48"/>
      <c r="P56" s="48"/>
      <c r="Q56" s="54"/>
      <c r="R56" s="23"/>
      <c r="S56" s="20"/>
      <c r="T56" s="23"/>
      <c r="U56" s="31"/>
    </row>
    <row r="57" spans="1:22" x14ac:dyDescent="0.15">
      <c r="E57" s="27"/>
      <c r="F57" s="23"/>
      <c r="G57" s="23"/>
      <c r="H57" s="23"/>
      <c r="I57" s="23"/>
      <c r="J57" s="23"/>
      <c r="K57" s="23"/>
      <c r="L57" s="27">
        <f>SUBTOTAL(9,L5:L55)</f>
        <v>1327.0100000000002</v>
      </c>
      <c r="M57" s="23"/>
      <c r="N57" s="48"/>
      <c r="O57" s="48"/>
      <c r="P57" s="48"/>
      <c r="Q57" s="54"/>
      <c r="R57" s="27">
        <f>SUBTOTAL(9,R5:R55)</f>
        <v>1076.32</v>
      </c>
      <c r="S57" s="23"/>
      <c r="T57" s="59">
        <f>SUBTOTAL(9,T5:T55)</f>
        <v>708000</v>
      </c>
      <c r="U57" s="60">
        <f>SUBTOTAL(9,U5:U55)</f>
        <v>716137.97260273993</v>
      </c>
      <c r="V57" s="58">
        <f>SUBTOTAL(9,V5:V55)</f>
        <v>528728.87671232875</v>
      </c>
    </row>
  </sheetData>
  <autoFilter ref="A4:W55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3"/>
  <sheetViews>
    <sheetView topLeftCell="C1" zoomScaleNormal="100" workbookViewId="0">
      <pane xSplit="1" ySplit="4" topLeftCell="D56" activePane="bottomRight" state="frozen"/>
      <selection activeCell="C1" sqref="C1"/>
      <selection pane="topRight" activeCell="D1" sqref="D1"/>
      <selection pane="bottomLeft" activeCell="C5" sqref="C5"/>
      <selection pane="bottomRight" activeCell="D5" sqref="D5"/>
    </sheetView>
  </sheetViews>
  <sheetFormatPr defaultRowHeight="22.5" customHeight="1" outlineLevelCol="1" x14ac:dyDescent="0.15"/>
  <cols>
    <col min="1" max="1" width="16" style="18" hidden="1" customWidth="1" outlineLevel="1"/>
    <col min="2" max="2" width="19.85546875" style="18" hidden="1" customWidth="1" outlineLevel="1"/>
    <col min="3" max="3" width="23.85546875" style="18" customWidth="1" collapsed="1"/>
    <col min="4" max="4" width="11.140625" style="18" customWidth="1"/>
    <col min="5" max="5" width="10.42578125" style="24" customWidth="1"/>
    <col min="6" max="6" width="10.5703125" style="18" customWidth="1"/>
    <col min="7" max="7" width="7.5703125" style="18" customWidth="1"/>
    <col min="8" max="8" width="9.140625" style="18" hidden="1" customWidth="1"/>
    <col min="9" max="9" width="9.140625" style="18"/>
    <col min="10" max="10" width="13.7109375" style="18" customWidth="1"/>
    <col min="11" max="11" width="14.7109375" style="18" hidden="1" customWidth="1"/>
    <col min="12" max="12" width="8.42578125" style="24" customWidth="1"/>
    <col min="13" max="13" width="13.85546875" style="18" customWidth="1"/>
    <col min="14" max="14" width="11.42578125" style="45" hidden="1" customWidth="1" outlineLevel="1"/>
    <col min="15" max="15" width="11.28515625" style="45" hidden="1" customWidth="1" outlineLevel="1"/>
    <col min="16" max="16" width="9.85546875" style="45" hidden="1" customWidth="1" outlineLevel="1"/>
    <col min="17" max="17" width="10.28515625" style="51" customWidth="1" collapsed="1"/>
    <col min="18" max="19" width="9.140625" style="18"/>
    <col min="20" max="20" width="14.5703125" style="18" customWidth="1" outlineLevel="1"/>
    <col min="21" max="21" width="13" style="29" customWidth="1" outlineLevel="1"/>
    <col min="22" max="22" width="16.42578125" style="18" customWidth="1" outlineLevel="1"/>
    <col min="23" max="16384" width="9.140625" style="18"/>
  </cols>
  <sheetData>
    <row r="1" spans="1:22" s="55" customFormat="1" ht="22.5" customHeight="1" x14ac:dyDescent="0.25"/>
    <row r="2" spans="1:22" s="55" customFormat="1" ht="22.5" customHeight="1" x14ac:dyDescent="0.25">
      <c r="G2" s="56"/>
    </row>
    <row r="3" spans="1:22" s="55" customFormat="1" ht="22.5" customHeight="1" x14ac:dyDescent="0.25"/>
    <row r="4" spans="1:22" s="44" customFormat="1" ht="22.5" customHeight="1" x14ac:dyDescent="0.15">
      <c r="A4" s="57" t="s">
        <v>0</v>
      </c>
      <c r="B4" s="57" t="s">
        <v>1</v>
      </c>
      <c r="C4" s="57" t="s">
        <v>2</v>
      </c>
      <c r="D4" s="35" t="s">
        <v>3</v>
      </c>
      <c r="E4" s="39" t="s">
        <v>107</v>
      </c>
      <c r="F4" s="57" t="s">
        <v>115</v>
      </c>
      <c r="G4" s="57" t="s">
        <v>117</v>
      </c>
      <c r="H4" s="36" t="s">
        <v>4</v>
      </c>
      <c r="I4" s="33" t="s">
        <v>118</v>
      </c>
      <c r="J4" s="34" t="s">
        <v>119</v>
      </c>
      <c r="K4" s="36" t="s">
        <v>108</v>
      </c>
      <c r="L4" s="40" t="s">
        <v>109</v>
      </c>
      <c r="M4" s="34" t="s">
        <v>120</v>
      </c>
      <c r="N4" s="46" t="s">
        <v>125</v>
      </c>
      <c r="O4" s="46" t="s">
        <v>124</v>
      </c>
      <c r="P4" s="50" t="s">
        <v>114</v>
      </c>
      <c r="Q4" s="52" t="s">
        <v>126</v>
      </c>
      <c r="R4" s="34" t="s">
        <v>110</v>
      </c>
      <c r="S4" s="34" t="s">
        <v>113</v>
      </c>
      <c r="T4" s="38" t="s">
        <v>111</v>
      </c>
      <c r="U4" s="37" t="s">
        <v>112</v>
      </c>
      <c r="V4" s="43" t="s">
        <v>123</v>
      </c>
    </row>
    <row r="5" spans="1:22" ht="22.5" customHeight="1" x14ac:dyDescent="0.15">
      <c r="A5" s="7" t="s">
        <v>31</v>
      </c>
      <c r="B5" s="7" t="s">
        <v>13</v>
      </c>
      <c r="C5" s="7" t="s">
        <v>9</v>
      </c>
      <c r="D5" s="9">
        <v>23</v>
      </c>
      <c r="E5" s="25">
        <v>38443</v>
      </c>
      <c r="F5" s="10">
        <v>41487</v>
      </c>
      <c r="G5" s="11">
        <f>DATEDIF(E5,F5,"m")</f>
        <v>100</v>
      </c>
      <c r="H5" s="19">
        <v>8</v>
      </c>
      <c r="I5" s="19">
        <f>G5*2.33</f>
        <v>233</v>
      </c>
      <c r="J5" s="20">
        <v>203</v>
      </c>
      <c r="K5" s="20">
        <v>224</v>
      </c>
      <c r="L5" s="28">
        <f>I5-J5</f>
        <v>30</v>
      </c>
      <c r="M5" s="21">
        <v>154</v>
      </c>
      <c r="N5" s="49">
        <v>39448</v>
      </c>
      <c r="O5" s="41">
        <f>DATEDIF(N5,F5,"m")</f>
        <v>67</v>
      </c>
      <c r="P5" s="41">
        <f>O5*2.33</f>
        <v>156.11000000000001</v>
      </c>
      <c r="Q5" s="53">
        <f t="shared" ref="Q5:Q59" si="0">O5*2.33</f>
        <v>156.11000000000001</v>
      </c>
      <c r="R5" s="20">
        <f>Q5-M5</f>
        <v>2.1100000000000136</v>
      </c>
      <c r="S5" s="42"/>
      <c r="T5" s="20">
        <v>18000</v>
      </c>
      <c r="U5" s="30">
        <f t="shared" ref="U5:U59" si="1">((T5*12)/365)*L5</f>
        <v>17753.424657534248</v>
      </c>
      <c r="V5" s="32">
        <f>((T5*12)/365)*R5</f>
        <v>1248.6575342465835</v>
      </c>
    </row>
    <row r="6" spans="1:22" ht="22.5" customHeight="1" x14ac:dyDescent="0.15">
      <c r="A6" s="7" t="s">
        <v>31</v>
      </c>
      <c r="B6" s="7" t="s">
        <v>46</v>
      </c>
      <c r="C6" s="7" t="s">
        <v>45</v>
      </c>
      <c r="D6" s="9">
        <v>106</v>
      </c>
      <c r="E6" s="25">
        <v>40513</v>
      </c>
      <c r="F6" s="10">
        <v>41487</v>
      </c>
      <c r="G6" s="11">
        <f t="shared" ref="G6:G59" si="2">DATEDIF(E6,F6,"m")</f>
        <v>32</v>
      </c>
      <c r="H6" s="19">
        <v>2.04</v>
      </c>
      <c r="I6" s="19">
        <f t="shared" ref="I6:I59" si="3">G6*2.33</f>
        <v>74.56</v>
      </c>
      <c r="J6" s="20">
        <v>84</v>
      </c>
      <c r="K6" s="20">
        <v>65.319999999999993</v>
      </c>
      <c r="L6" s="28">
        <f t="shared" ref="L6:L59" si="4">I6-J6</f>
        <v>-9.4399999999999977</v>
      </c>
      <c r="M6" s="20">
        <v>84</v>
      </c>
      <c r="N6" s="47">
        <f>E6</f>
        <v>40513</v>
      </c>
      <c r="O6" s="41">
        <f t="shared" ref="O6:O9" si="5">DATEDIF(N6,F6,"m")</f>
        <v>32</v>
      </c>
      <c r="P6" s="41">
        <f>O6*2.33</f>
        <v>74.56</v>
      </c>
      <c r="Q6" s="53">
        <f t="shared" si="0"/>
        <v>74.56</v>
      </c>
      <c r="R6" s="20">
        <f t="shared" ref="R6:R59" si="6">Q6-M6</f>
        <v>-9.4399999999999977</v>
      </c>
      <c r="S6" s="20">
        <f t="shared" ref="S6:S22" si="7">J6-M6</f>
        <v>0</v>
      </c>
      <c r="T6" s="20">
        <v>12000</v>
      </c>
      <c r="U6" s="30">
        <f t="shared" si="1"/>
        <v>-3724.2739726027385</v>
      </c>
      <c r="V6" s="32">
        <f t="shared" ref="V6:V59" si="8">((T6*12)/365)*R6</f>
        <v>-3724.2739726027385</v>
      </c>
    </row>
    <row r="7" spans="1:22" ht="22.5" customHeight="1" x14ac:dyDescent="0.15">
      <c r="A7" s="7" t="s">
        <v>31</v>
      </c>
      <c r="B7" s="7" t="s">
        <v>11</v>
      </c>
      <c r="C7" s="7" t="s">
        <v>16</v>
      </c>
      <c r="D7" s="9">
        <v>126</v>
      </c>
      <c r="E7" s="25">
        <v>40848</v>
      </c>
      <c r="F7" s="10">
        <v>41487</v>
      </c>
      <c r="G7" s="11">
        <f t="shared" si="2"/>
        <v>21</v>
      </c>
      <c r="H7" s="19">
        <v>1.05</v>
      </c>
      <c r="I7" s="19">
        <f t="shared" si="3"/>
        <v>48.93</v>
      </c>
      <c r="J7" s="20">
        <f>14+28</f>
        <v>42</v>
      </c>
      <c r="K7" s="20">
        <v>39.65</v>
      </c>
      <c r="L7" s="28">
        <f t="shared" si="4"/>
        <v>6.93</v>
      </c>
      <c r="M7" s="42"/>
      <c r="N7" s="42"/>
      <c r="O7" s="42"/>
      <c r="P7" s="42"/>
      <c r="Q7" s="42"/>
      <c r="R7" s="42"/>
      <c r="S7" s="42"/>
      <c r="T7" s="20">
        <v>13000</v>
      </c>
      <c r="U7" s="30">
        <f t="shared" si="1"/>
        <v>2961.8630136986303</v>
      </c>
      <c r="V7" s="32">
        <f t="shared" si="8"/>
        <v>0</v>
      </c>
    </row>
    <row r="8" spans="1:22" ht="22.5" customHeight="1" x14ac:dyDescent="0.15">
      <c r="A8" s="7" t="s">
        <v>31</v>
      </c>
      <c r="B8" s="7" t="s">
        <v>11</v>
      </c>
      <c r="C8" s="7" t="s">
        <v>12</v>
      </c>
      <c r="D8" s="9">
        <v>123</v>
      </c>
      <c r="E8" s="25">
        <v>40826</v>
      </c>
      <c r="F8" s="10">
        <v>41487</v>
      </c>
      <c r="G8" s="11">
        <f t="shared" si="2"/>
        <v>21</v>
      </c>
      <c r="H8" s="19">
        <v>1.05</v>
      </c>
      <c r="I8" s="19">
        <f t="shared" si="3"/>
        <v>48.93</v>
      </c>
      <c r="J8" s="20">
        <v>43</v>
      </c>
      <c r="K8" s="20">
        <v>39.65</v>
      </c>
      <c r="L8" s="28">
        <f t="shared" si="4"/>
        <v>5.93</v>
      </c>
      <c r="M8" s="21">
        <v>43</v>
      </c>
      <c r="N8" s="47">
        <f t="shared" ref="N8:N12" si="9">E8</f>
        <v>40826</v>
      </c>
      <c r="O8" s="41">
        <f t="shared" si="5"/>
        <v>21</v>
      </c>
      <c r="P8" s="41">
        <f t="shared" ref="P8:P59" si="10">O8*2.33</f>
        <v>48.93</v>
      </c>
      <c r="Q8" s="53">
        <f t="shared" si="0"/>
        <v>48.93</v>
      </c>
      <c r="R8" s="20">
        <f t="shared" si="6"/>
        <v>5.93</v>
      </c>
      <c r="S8" s="20">
        <f t="shared" si="7"/>
        <v>0</v>
      </c>
      <c r="T8" s="20">
        <v>13000</v>
      </c>
      <c r="U8" s="30">
        <f t="shared" si="1"/>
        <v>2534.4657534246576</v>
      </c>
      <c r="V8" s="32">
        <f t="shared" si="8"/>
        <v>2534.4657534246576</v>
      </c>
    </row>
    <row r="9" spans="1:22" ht="22.5" customHeight="1" x14ac:dyDescent="0.15">
      <c r="A9" s="7" t="s">
        <v>31</v>
      </c>
      <c r="B9" s="7" t="s">
        <v>11</v>
      </c>
      <c r="C9" s="7" t="s">
        <v>26</v>
      </c>
      <c r="D9" s="9">
        <v>134</v>
      </c>
      <c r="E9" s="25">
        <v>41031</v>
      </c>
      <c r="F9" s="10">
        <v>41487</v>
      </c>
      <c r="G9" s="11">
        <f t="shared" si="2"/>
        <v>14</v>
      </c>
      <c r="H9" s="19">
        <v>0.11</v>
      </c>
      <c r="I9" s="19">
        <f t="shared" si="3"/>
        <v>32.620000000000005</v>
      </c>
      <c r="J9" s="20">
        <f>9+14</f>
        <v>23</v>
      </c>
      <c r="K9" s="20">
        <v>25.63</v>
      </c>
      <c r="L9" s="28">
        <f t="shared" si="4"/>
        <v>9.6200000000000045</v>
      </c>
      <c r="M9" s="21">
        <f>12+13</f>
        <v>25</v>
      </c>
      <c r="N9" s="47">
        <f t="shared" si="9"/>
        <v>41031</v>
      </c>
      <c r="O9" s="41">
        <f t="shared" si="5"/>
        <v>14</v>
      </c>
      <c r="P9" s="41">
        <f t="shared" si="10"/>
        <v>32.620000000000005</v>
      </c>
      <c r="Q9" s="53">
        <f t="shared" si="0"/>
        <v>32.620000000000005</v>
      </c>
      <c r="R9" s="20">
        <f t="shared" si="6"/>
        <v>7.6200000000000045</v>
      </c>
      <c r="S9" s="20">
        <f t="shared" si="7"/>
        <v>-2</v>
      </c>
      <c r="T9" s="20">
        <v>13000</v>
      </c>
      <c r="U9" s="30">
        <f t="shared" si="1"/>
        <v>4111.5616438356183</v>
      </c>
      <c r="V9" s="32">
        <f t="shared" si="8"/>
        <v>3256.7671232876733</v>
      </c>
    </row>
    <row r="10" spans="1:22" ht="22.5" customHeight="1" x14ac:dyDescent="0.15">
      <c r="A10" s="7" t="s">
        <v>31</v>
      </c>
      <c r="B10" s="7" t="s">
        <v>11</v>
      </c>
      <c r="C10" s="7" t="s">
        <v>47</v>
      </c>
      <c r="D10" s="9">
        <v>130</v>
      </c>
      <c r="E10" s="25">
        <v>40969</v>
      </c>
      <c r="F10" s="10">
        <v>41487</v>
      </c>
      <c r="G10" s="11">
        <f t="shared" si="2"/>
        <v>17</v>
      </c>
      <c r="H10" s="19">
        <v>1</v>
      </c>
      <c r="I10" s="19">
        <f t="shared" si="3"/>
        <v>39.61</v>
      </c>
      <c r="J10" s="20">
        <v>28</v>
      </c>
      <c r="K10" s="20">
        <v>28</v>
      </c>
      <c r="L10" s="28">
        <f t="shared" si="4"/>
        <v>11.61</v>
      </c>
      <c r="M10" s="42"/>
      <c r="N10" s="42"/>
      <c r="O10" s="42"/>
      <c r="P10" s="42"/>
      <c r="Q10" s="42"/>
      <c r="R10" s="42"/>
      <c r="S10" s="42"/>
      <c r="T10" s="20">
        <v>13000</v>
      </c>
      <c r="U10" s="30">
        <f t="shared" si="1"/>
        <v>4962.0821917808216</v>
      </c>
      <c r="V10" s="32">
        <f t="shared" si="8"/>
        <v>0</v>
      </c>
    </row>
    <row r="11" spans="1:22" ht="22.5" customHeight="1" x14ac:dyDescent="0.15">
      <c r="A11" s="7" t="s">
        <v>8</v>
      </c>
      <c r="B11" s="7" t="s">
        <v>14</v>
      </c>
      <c r="C11" s="7" t="s">
        <v>15</v>
      </c>
      <c r="D11" s="9">
        <v>8</v>
      </c>
      <c r="E11" s="25">
        <v>37259</v>
      </c>
      <c r="F11" s="10">
        <v>41487</v>
      </c>
      <c r="G11" s="11">
        <f t="shared" si="2"/>
        <v>138</v>
      </c>
      <c r="H11" s="19">
        <v>11.02</v>
      </c>
      <c r="I11" s="19">
        <f t="shared" si="3"/>
        <v>321.54000000000002</v>
      </c>
      <c r="J11" s="20">
        <f>197+15</f>
        <v>212</v>
      </c>
      <c r="K11" s="20">
        <v>312.66000000000003</v>
      </c>
      <c r="L11" s="28">
        <f t="shared" si="4"/>
        <v>109.54000000000002</v>
      </c>
      <c r="M11" s="21">
        <f>88+15</f>
        <v>103</v>
      </c>
      <c r="N11" s="49">
        <v>39448</v>
      </c>
      <c r="O11" s="41">
        <f>DATEDIF(N11,F11,"m")</f>
        <v>67</v>
      </c>
      <c r="P11" s="41">
        <f t="shared" si="10"/>
        <v>156.11000000000001</v>
      </c>
      <c r="Q11" s="53">
        <f t="shared" si="0"/>
        <v>156.11000000000001</v>
      </c>
      <c r="R11" s="20">
        <f t="shared" si="6"/>
        <v>53.110000000000014</v>
      </c>
      <c r="S11" s="42"/>
      <c r="T11" s="20">
        <v>28000</v>
      </c>
      <c r="U11" s="30">
        <f t="shared" si="1"/>
        <v>100836.82191780824</v>
      </c>
      <c r="V11" s="32">
        <f t="shared" si="8"/>
        <v>48890.301369863024</v>
      </c>
    </row>
    <row r="12" spans="1:22" ht="22.5" customHeight="1" x14ac:dyDescent="0.15">
      <c r="A12" s="7" t="s">
        <v>8</v>
      </c>
      <c r="B12" s="7" t="s">
        <v>10</v>
      </c>
      <c r="C12" s="8" t="s">
        <v>128</v>
      </c>
      <c r="D12" s="9">
        <v>140</v>
      </c>
      <c r="E12" s="25">
        <v>41143</v>
      </c>
      <c r="F12" s="10">
        <v>41487</v>
      </c>
      <c r="G12" s="11">
        <f t="shared" si="2"/>
        <v>11</v>
      </c>
      <c r="H12" s="19">
        <v>7.0000000000000007E-2</v>
      </c>
      <c r="I12" s="19">
        <f t="shared" si="3"/>
        <v>25.630000000000003</v>
      </c>
      <c r="J12" s="20">
        <v>7</v>
      </c>
      <c r="K12" s="20">
        <v>16.309999999999999</v>
      </c>
      <c r="L12" s="28">
        <f t="shared" si="4"/>
        <v>18.630000000000003</v>
      </c>
      <c r="M12" s="21">
        <v>7</v>
      </c>
      <c r="N12" s="47">
        <f t="shared" si="9"/>
        <v>41143</v>
      </c>
      <c r="O12" s="41">
        <f t="shared" ref="O12" si="11">DATEDIF(N12,F12,"m")</f>
        <v>11</v>
      </c>
      <c r="P12" s="41">
        <f t="shared" si="10"/>
        <v>25.630000000000003</v>
      </c>
      <c r="Q12" s="53">
        <f t="shared" si="0"/>
        <v>25.630000000000003</v>
      </c>
      <c r="R12" s="20">
        <f t="shared" si="6"/>
        <v>18.630000000000003</v>
      </c>
      <c r="S12" s="20">
        <f t="shared" si="7"/>
        <v>0</v>
      </c>
      <c r="T12" s="20">
        <v>12000</v>
      </c>
      <c r="U12" s="30">
        <f t="shared" si="1"/>
        <v>7349.9178082191784</v>
      </c>
      <c r="V12" s="32">
        <f t="shared" si="8"/>
        <v>7349.9178082191784</v>
      </c>
    </row>
    <row r="13" spans="1:22" ht="22.5" customHeight="1" x14ac:dyDescent="0.15">
      <c r="A13" s="7" t="s">
        <v>32</v>
      </c>
      <c r="B13" s="7" t="s">
        <v>33</v>
      </c>
      <c r="C13" s="7" t="s">
        <v>17</v>
      </c>
      <c r="D13" s="9">
        <v>13</v>
      </c>
      <c r="E13" s="25">
        <v>37773</v>
      </c>
      <c r="F13" s="10">
        <v>41487</v>
      </c>
      <c r="G13" s="11">
        <f t="shared" si="2"/>
        <v>122</v>
      </c>
      <c r="H13" s="19">
        <v>9.1</v>
      </c>
      <c r="I13" s="19">
        <f t="shared" si="3"/>
        <v>284.26</v>
      </c>
      <c r="J13" s="20">
        <v>128</v>
      </c>
      <c r="K13" s="20">
        <v>275.3</v>
      </c>
      <c r="L13" s="28">
        <f t="shared" si="4"/>
        <v>156.26</v>
      </c>
      <c r="M13" s="21">
        <v>74</v>
      </c>
      <c r="N13" s="49">
        <v>39448</v>
      </c>
      <c r="O13" s="41">
        <f>DATEDIF(N13,F13,"m")</f>
        <v>67</v>
      </c>
      <c r="P13" s="41">
        <f t="shared" si="10"/>
        <v>156.11000000000001</v>
      </c>
      <c r="Q13" s="53">
        <f t="shared" si="0"/>
        <v>156.11000000000001</v>
      </c>
      <c r="R13" s="20">
        <f t="shared" si="6"/>
        <v>82.110000000000014</v>
      </c>
      <c r="S13" s="42"/>
      <c r="T13" s="20">
        <v>18000</v>
      </c>
      <c r="U13" s="30">
        <f t="shared" si="1"/>
        <v>92471.671232876703</v>
      </c>
      <c r="V13" s="32">
        <f t="shared" si="8"/>
        <v>48591.123287671238</v>
      </c>
    </row>
    <row r="14" spans="1:22" ht="22.5" customHeight="1" x14ac:dyDescent="0.15">
      <c r="A14" s="7" t="s">
        <v>32</v>
      </c>
      <c r="B14" s="7" t="s">
        <v>18</v>
      </c>
      <c r="C14" s="7" t="s">
        <v>53</v>
      </c>
      <c r="D14" s="9">
        <v>57</v>
      </c>
      <c r="E14" s="25">
        <v>39456</v>
      </c>
      <c r="F14" s="10">
        <v>41487</v>
      </c>
      <c r="G14" s="11">
        <f t="shared" si="2"/>
        <v>66</v>
      </c>
      <c r="H14" s="20">
        <v>5.0199999999999996</v>
      </c>
      <c r="I14" s="19">
        <f t="shared" si="3"/>
        <v>153.78</v>
      </c>
      <c r="J14" s="20">
        <v>114</v>
      </c>
      <c r="K14" s="20">
        <v>144.66</v>
      </c>
      <c r="L14" s="28">
        <f t="shared" si="4"/>
        <v>39.78</v>
      </c>
      <c r="M14" s="21">
        <v>57</v>
      </c>
      <c r="N14" s="49">
        <v>39448</v>
      </c>
      <c r="O14" s="41">
        <f>DATEDIF(E14,F14,"m")</f>
        <v>66</v>
      </c>
      <c r="P14" s="41">
        <f t="shared" si="10"/>
        <v>153.78</v>
      </c>
      <c r="Q14" s="53">
        <f t="shared" si="0"/>
        <v>153.78</v>
      </c>
      <c r="R14" s="20">
        <f t="shared" si="6"/>
        <v>96.78</v>
      </c>
      <c r="S14" s="42"/>
      <c r="T14" s="20">
        <v>12000</v>
      </c>
      <c r="U14" s="30">
        <f t="shared" si="1"/>
        <v>15694.027397260274</v>
      </c>
      <c r="V14" s="32">
        <f t="shared" si="8"/>
        <v>38181.698630136983</v>
      </c>
    </row>
    <row r="15" spans="1:22" ht="22.5" customHeight="1" x14ac:dyDescent="0.15">
      <c r="A15" s="7" t="s">
        <v>32</v>
      </c>
      <c r="B15" s="7" t="s">
        <v>18</v>
      </c>
      <c r="C15" s="7" t="s">
        <v>54</v>
      </c>
      <c r="D15" s="9">
        <v>111</v>
      </c>
      <c r="E15" s="25">
        <v>40603</v>
      </c>
      <c r="F15" s="10">
        <v>41487</v>
      </c>
      <c r="G15" s="11">
        <f t="shared" si="2"/>
        <v>29</v>
      </c>
      <c r="H15" s="20">
        <v>2.0099999999999998</v>
      </c>
      <c r="I15" s="19">
        <f t="shared" si="3"/>
        <v>67.570000000000007</v>
      </c>
      <c r="J15" s="20">
        <v>70</v>
      </c>
      <c r="K15" s="20">
        <v>58.33</v>
      </c>
      <c r="L15" s="28">
        <f t="shared" si="4"/>
        <v>-2.4299999999999926</v>
      </c>
      <c r="M15" s="21">
        <v>70</v>
      </c>
      <c r="N15" s="47">
        <f t="shared" ref="N15" si="12">E15</f>
        <v>40603</v>
      </c>
      <c r="O15" s="41">
        <f t="shared" ref="O15" si="13">DATEDIF(N15,F15,"m")</f>
        <v>29</v>
      </c>
      <c r="P15" s="41">
        <f t="shared" si="10"/>
        <v>67.570000000000007</v>
      </c>
      <c r="Q15" s="53">
        <f t="shared" si="0"/>
        <v>67.570000000000007</v>
      </c>
      <c r="R15" s="20">
        <f t="shared" si="6"/>
        <v>-2.4299999999999926</v>
      </c>
      <c r="S15" s="20">
        <f t="shared" si="7"/>
        <v>0</v>
      </c>
      <c r="T15" s="20">
        <v>12000</v>
      </c>
      <c r="U15" s="30">
        <f t="shared" si="1"/>
        <v>-958.6849315068464</v>
      </c>
      <c r="V15" s="32">
        <f t="shared" si="8"/>
        <v>-958.6849315068464</v>
      </c>
    </row>
    <row r="16" spans="1:22" ht="22.5" customHeight="1" x14ac:dyDescent="0.15">
      <c r="A16" s="7" t="s">
        <v>32</v>
      </c>
      <c r="B16" s="7" t="s">
        <v>18</v>
      </c>
      <c r="C16" s="7" t="s">
        <v>55</v>
      </c>
      <c r="D16" s="9">
        <v>50</v>
      </c>
      <c r="E16" s="25">
        <v>39387</v>
      </c>
      <c r="F16" s="10">
        <v>41487</v>
      </c>
      <c r="G16" s="11">
        <f t="shared" si="2"/>
        <v>69</v>
      </c>
      <c r="H16" s="20">
        <v>5.05</v>
      </c>
      <c r="I16" s="19">
        <f t="shared" si="3"/>
        <v>160.77000000000001</v>
      </c>
      <c r="J16" s="20">
        <v>129</v>
      </c>
      <c r="K16" s="20">
        <v>151.65</v>
      </c>
      <c r="L16" s="28">
        <f t="shared" si="4"/>
        <v>31.77000000000001</v>
      </c>
      <c r="M16" s="21">
        <v>59</v>
      </c>
      <c r="N16" s="49">
        <v>39448</v>
      </c>
      <c r="O16" s="41">
        <f>DATEDIF(N16,F16,"m")</f>
        <v>67</v>
      </c>
      <c r="P16" s="41">
        <f t="shared" si="10"/>
        <v>156.11000000000001</v>
      </c>
      <c r="Q16" s="53">
        <f t="shared" si="0"/>
        <v>156.11000000000001</v>
      </c>
      <c r="R16" s="20">
        <f t="shared" si="6"/>
        <v>97.110000000000014</v>
      </c>
      <c r="S16" s="20">
        <f t="shared" si="7"/>
        <v>70</v>
      </c>
      <c r="T16" s="20">
        <v>12000</v>
      </c>
      <c r="U16" s="30">
        <f t="shared" si="1"/>
        <v>12533.917808219181</v>
      </c>
      <c r="V16" s="32">
        <f t="shared" si="8"/>
        <v>38311.890410958906</v>
      </c>
    </row>
    <row r="17" spans="1:22" ht="22.5" customHeight="1" x14ac:dyDescent="0.15">
      <c r="A17" s="7" t="s">
        <v>32</v>
      </c>
      <c r="B17" s="7" t="s">
        <v>18</v>
      </c>
      <c r="C17" s="7" t="s">
        <v>56</v>
      </c>
      <c r="D17" s="9">
        <v>90</v>
      </c>
      <c r="E17" s="25">
        <v>40238</v>
      </c>
      <c r="F17" s="10">
        <v>41487</v>
      </c>
      <c r="G17" s="11">
        <f t="shared" si="2"/>
        <v>41</v>
      </c>
      <c r="H17" s="20">
        <v>3.01</v>
      </c>
      <c r="I17" s="19">
        <f t="shared" si="3"/>
        <v>95.53</v>
      </c>
      <c r="J17" s="20">
        <v>28</v>
      </c>
      <c r="K17" s="20">
        <v>86.33</v>
      </c>
      <c r="L17" s="28">
        <f t="shared" si="4"/>
        <v>67.53</v>
      </c>
      <c r="M17" s="21">
        <v>21</v>
      </c>
      <c r="N17" s="47">
        <f t="shared" ref="N17:N18" si="14">E17</f>
        <v>40238</v>
      </c>
      <c r="O17" s="41">
        <f t="shared" ref="O17:O18" si="15">DATEDIF(N17,F17,"m")</f>
        <v>41</v>
      </c>
      <c r="P17" s="41">
        <f t="shared" si="10"/>
        <v>95.53</v>
      </c>
      <c r="Q17" s="53">
        <f t="shared" si="0"/>
        <v>95.53</v>
      </c>
      <c r="R17" s="20">
        <f t="shared" si="6"/>
        <v>74.53</v>
      </c>
      <c r="S17" s="20">
        <f t="shared" si="7"/>
        <v>7</v>
      </c>
      <c r="T17" s="20">
        <v>12000</v>
      </c>
      <c r="U17" s="30">
        <f t="shared" si="1"/>
        <v>26641.972602739726</v>
      </c>
      <c r="V17" s="32">
        <f t="shared" si="8"/>
        <v>29403.616438356163</v>
      </c>
    </row>
    <row r="18" spans="1:22" ht="22.5" customHeight="1" x14ac:dyDescent="0.15">
      <c r="A18" s="7" t="s">
        <v>32</v>
      </c>
      <c r="B18" s="7" t="s">
        <v>18</v>
      </c>
      <c r="C18" s="12" t="s">
        <v>52</v>
      </c>
      <c r="D18" s="9">
        <v>141</v>
      </c>
      <c r="E18" s="25">
        <v>41155</v>
      </c>
      <c r="F18" s="10">
        <v>41487</v>
      </c>
      <c r="G18" s="11">
        <f t="shared" si="2"/>
        <v>10</v>
      </c>
      <c r="H18" s="20">
        <v>0.06</v>
      </c>
      <c r="I18" s="19">
        <f t="shared" si="3"/>
        <v>23.3</v>
      </c>
      <c r="J18" s="20">
        <v>14</v>
      </c>
      <c r="K18" s="20">
        <v>13.98</v>
      </c>
      <c r="L18" s="28">
        <f t="shared" si="4"/>
        <v>9.3000000000000007</v>
      </c>
      <c r="M18" s="21">
        <v>14</v>
      </c>
      <c r="N18" s="47">
        <f t="shared" si="14"/>
        <v>41155</v>
      </c>
      <c r="O18" s="41">
        <f t="shared" si="15"/>
        <v>10</v>
      </c>
      <c r="P18" s="41">
        <f t="shared" si="10"/>
        <v>23.3</v>
      </c>
      <c r="Q18" s="53">
        <f t="shared" si="0"/>
        <v>23.3</v>
      </c>
      <c r="R18" s="20">
        <f t="shared" si="6"/>
        <v>9.3000000000000007</v>
      </c>
      <c r="S18" s="20">
        <f t="shared" si="7"/>
        <v>0</v>
      </c>
      <c r="T18" s="20">
        <v>12000</v>
      </c>
      <c r="U18" s="30">
        <f t="shared" si="1"/>
        <v>3669.0410958904113</v>
      </c>
      <c r="V18" s="32">
        <f t="shared" si="8"/>
        <v>3669.0410958904113</v>
      </c>
    </row>
    <row r="19" spans="1:22" ht="22.5" customHeight="1" x14ac:dyDescent="0.15">
      <c r="A19" s="7" t="s">
        <v>34</v>
      </c>
      <c r="B19" s="7" t="s">
        <v>21</v>
      </c>
      <c r="C19" s="7" t="s">
        <v>20</v>
      </c>
      <c r="D19" s="9">
        <v>39</v>
      </c>
      <c r="E19" s="25">
        <v>39052</v>
      </c>
      <c r="F19" s="10">
        <v>41487</v>
      </c>
      <c r="G19" s="11">
        <f t="shared" si="2"/>
        <v>80</v>
      </c>
      <c r="H19" s="20">
        <v>6.04</v>
      </c>
      <c r="I19" s="19">
        <f t="shared" si="3"/>
        <v>186.4</v>
      </c>
      <c r="J19" s="20">
        <f>165+14</f>
        <v>179</v>
      </c>
      <c r="K19" s="20">
        <v>177.32</v>
      </c>
      <c r="L19" s="28">
        <f t="shared" si="4"/>
        <v>7.4000000000000057</v>
      </c>
      <c r="M19" s="21">
        <f>119+14</f>
        <v>133</v>
      </c>
      <c r="N19" s="49">
        <v>39448</v>
      </c>
      <c r="O19" s="41">
        <f>DATEDIF(N19,F19,"m")</f>
        <v>67</v>
      </c>
      <c r="P19" s="41">
        <f t="shared" si="10"/>
        <v>156.11000000000001</v>
      </c>
      <c r="Q19" s="53">
        <f t="shared" si="0"/>
        <v>156.11000000000001</v>
      </c>
      <c r="R19" s="20">
        <f t="shared" si="6"/>
        <v>23.110000000000014</v>
      </c>
      <c r="S19" s="42"/>
      <c r="T19" s="20">
        <v>13000</v>
      </c>
      <c r="U19" s="30">
        <f t="shared" si="1"/>
        <v>3162.7397260273997</v>
      </c>
      <c r="V19" s="32">
        <f t="shared" si="8"/>
        <v>9877.1506849315138</v>
      </c>
    </row>
    <row r="20" spans="1:22" ht="22.5" customHeight="1" x14ac:dyDescent="0.15">
      <c r="A20" s="7" t="s">
        <v>30</v>
      </c>
      <c r="B20" s="7" t="s">
        <v>22</v>
      </c>
      <c r="C20" s="7" t="s">
        <v>23</v>
      </c>
      <c r="D20" s="9">
        <v>19</v>
      </c>
      <c r="E20" s="25">
        <v>38166</v>
      </c>
      <c r="F20" s="10">
        <v>41487</v>
      </c>
      <c r="G20" s="11">
        <f t="shared" si="2"/>
        <v>109</v>
      </c>
      <c r="H20" s="20">
        <v>8.09</v>
      </c>
      <c r="I20" s="19">
        <f t="shared" si="3"/>
        <v>253.97</v>
      </c>
      <c r="J20" s="20">
        <v>109</v>
      </c>
      <c r="K20" s="20">
        <v>244.97</v>
      </c>
      <c r="L20" s="28">
        <f t="shared" si="4"/>
        <v>144.97</v>
      </c>
      <c r="M20" s="21">
        <v>70</v>
      </c>
      <c r="N20" s="49">
        <v>39448</v>
      </c>
      <c r="O20" s="41">
        <f>DATEDIF(N20,F20,"m")</f>
        <v>67</v>
      </c>
      <c r="P20" s="41">
        <f t="shared" si="10"/>
        <v>156.11000000000001</v>
      </c>
      <c r="Q20" s="53">
        <f t="shared" si="0"/>
        <v>156.11000000000001</v>
      </c>
      <c r="R20" s="20">
        <f t="shared" si="6"/>
        <v>86.110000000000014</v>
      </c>
      <c r="S20" s="42"/>
      <c r="T20" s="20">
        <v>24000</v>
      </c>
      <c r="U20" s="30">
        <f t="shared" si="1"/>
        <v>114387.28767123287</v>
      </c>
      <c r="V20" s="32">
        <f t="shared" si="8"/>
        <v>67944.328767123297</v>
      </c>
    </row>
    <row r="21" spans="1:22" ht="22.5" customHeight="1" x14ac:dyDescent="0.15">
      <c r="A21" s="7" t="s">
        <v>30</v>
      </c>
      <c r="B21" s="7" t="s">
        <v>24</v>
      </c>
      <c r="C21" s="7" t="s">
        <v>25</v>
      </c>
      <c r="D21" s="9">
        <v>113</v>
      </c>
      <c r="E21" s="25">
        <v>40623</v>
      </c>
      <c r="F21" s="10">
        <v>41487</v>
      </c>
      <c r="G21" s="11">
        <f t="shared" si="2"/>
        <v>28</v>
      </c>
      <c r="H21" s="19">
        <v>2</v>
      </c>
      <c r="I21" s="19">
        <f t="shared" si="3"/>
        <v>65.240000000000009</v>
      </c>
      <c r="J21" s="20">
        <v>64</v>
      </c>
      <c r="K21" s="20">
        <v>56</v>
      </c>
      <c r="L21" s="28">
        <f t="shared" si="4"/>
        <v>1.2400000000000091</v>
      </c>
      <c r="M21" s="21">
        <v>60</v>
      </c>
      <c r="N21" s="47">
        <f t="shared" ref="N21:N22" si="16">E21</f>
        <v>40623</v>
      </c>
      <c r="O21" s="41">
        <f t="shared" ref="O21:O22" si="17">DATEDIF(N21,F21,"m")</f>
        <v>28</v>
      </c>
      <c r="P21" s="41">
        <f t="shared" si="10"/>
        <v>65.240000000000009</v>
      </c>
      <c r="Q21" s="53">
        <f t="shared" si="0"/>
        <v>65.240000000000009</v>
      </c>
      <c r="R21" s="20">
        <f t="shared" si="6"/>
        <v>5.2400000000000091</v>
      </c>
      <c r="S21" s="20">
        <f t="shared" si="7"/>
        <v>4</v>
      </c>
      <c r="T21" s="20">
        <v>13000</v>
      </c>
      <c r="U21" s="30">
        <f t="shared" si="1"/>
        <v>529.97260273972995</v>
      </c>
      <c r="V21" s="32">
        <f t="shared" si="8"/>
        <v>2239.5616438356205</v>
      </c>
    </row>
    <row r="22" spans="1:22" ht="22.5" customHeight="1" x14ac:dyDescent="0.15">
      <c r="A22" s="7" t="s">
        <v>30</v>
      </c>
      <c r="B22" s="7" t="s">
        <v>24</v>
      </c>
      <c r="C22" s="7" t="s">
        <v>57</v>
      </c>
      <c r="D22" s="9">
        <v>154</v>
      </c>
      <c r="E22" s="25">
        <v>41309</v>
      </c>
      <c r="F22" s="10">
        <v>41487</v>
      </c>
      <c r="G22" s="11">
        <f t="shared" si="2"/>
        <v>5</v>
      </c>
      <c r="H22" s="20">
        <v>0.01</v>
      </c>
      <c r="I22" s="19">
        <f t="shared" si="3"/>
        <v>11.65</v>
      </c>
      <c r="J22" s="20">
        <f>1+7</f>
        <v>8</v>
      </c>
      <c r="K22" s="20">
        <v>0</v>
      </c>
      <c r="L22" s="28">
        <f t="shared" si="4"/>
        <v>3.6500000000000004</v>
      </c>
      <c r="M22" s="21">
        <f>1+7</f>
        <v>8</v>
      </c>
      <c r="N22" s="47">
        <f t="shared" si="16"/>
        <v>41309</v>
      </c>
      <c r="O22" s="41">
        <f t="shared" si="17"/>
        <v>5</v>
      </c>
      <c r="P22" s="41">
        <f t="shared" si="10"/>
        <v>11.65</v>
      </c>
      <c r="Q22" s="53">
        <f t="shared" si="0"/>
        <v>11.65</v>
      </c>
      <c r="R22" s="20">
        <f t="shared" si="6"/>
        <v>3.6500000000000004</v>
      </c>
      <c r="S22" s="20">
        <f t="shared" si="7"/>
        <v>0</v>
      </c>
      <c r="T22" s="20">
        <v>13000</v>
      </c>
      <c r="U22" s="30">
        <f t="shared" si="1"/>
        <v>1560.0000000000002</v>
      </c>
      <c r="V22" s="32">
        <f t="shared" si="8"/>
        <v>1560.0000000000002</v>
      </c>
    </row>
    <row r="23" spans="1:22" ht="22.5" customHeight="1" x14ac:dyDescent="0.15">
      <c r="A23" s="7" t="s">
        <v>30</v>
      </c>
      <c r="B23" s="7" t="s">
        <v>24</v>
      </c>
      <c r="C23" s="7" t="s">
        <v>29</v>
      </c>
      <c r="D23" s="9">
        <v>53</v>
      </c>
      <c r="E23" s="25">
        <v>39419</v>
      </c>
      <c r="F23" s="10">
        <v>41487</v>
      </c>
      <c r="G23" s="11">
        <f t="shared" si="2"/>
        <v>67</v>
      </c>
      <c r="H23" s="20">
        <v>5.03</v>
      </c>
      <c r="I23" s="19">
        <f t="shared" si="3"/>
        <v>156.11000000000001</v>
      </c>
      <c r="J23" s="20">
        <v>145</v>
      </c>
      <c r="K23" s="20">
        <v>146.99</v>
      </c>
      <c r="L23" s="28">
        <f t="shared" si="4"/>
        <v>11.110000000000014</v>
      </c>
      <c r="M23" s="21">
        <v>147</v>
      </c>
      <c r="N23" s="49">
        <v>39448</v>
      </c>
      <c r="O23" s="41">
        <f>DATEDIF(N23,F23,"m")</f>
        <v>67</v>
      </c>
      <c r="P23" s="41">
        <f>O23*2.33</f>
        <v>156.11000000000001</v>
      </c>
      <c r="Q23" s="53">
        <f t="shared" si="0"/>
        <v>156.11000000000001</v>
      </c>
      <c r="R23" s="20">
        <f t="shared" si="6"/>
        <v>9.1100000000000136</v>
      </c>
      <c r="S23" s="42"/>
      <c r="T23" s="20">
        <v>13000</v>
      </c>
      <c r="U23" s="30">
        <f t="shared" si="1"/>
        <v>4748.3835616438419</v>
      </c>
      <c r="V23" s="32">
        <f t="shared" si="8"/>
        <v>3893.5890410958964</v>
      </c>
    </row>
    <row r="24" spans="1:22" ht="22.5" customHeight="1" x14ac:dyDescent="0.15">
      <c r="A24" s="7" t="s">
        <v>35</v>
      </c>
      <c r="B24" s="7" t="s">
        <v>127</v>
      </c>
      <c r="C24" s="7" t="s">
        <v>28</v>
      </c>
      <c r="D24" s="9">
        <v>137</v>
      </c>
      <c r="E24" s="25">
        <v>41106</v>
      </c>
      <c r="F24" s="10">
        <v>41487</v>
      </c>
      <c r="G24" s="11">
        <f t="shared" si="2"/>
        <v>12</v>
      </c>
      <c r="H24" s="20">
        <v>0.08</v>
      </c>
      <c r="I24" s="19">
        <f t="shared" si="3"/>
        <v>27.96</v>
      </c>
      <c r="J24" s="20">
        <v>20</v>
      </c>
      <c r="K24" s="20">
        <v>18.64</v>
      </c>
      <c r="L24" s="28">
        <f t="shared" si="4"/>
        <v>7.9600000000000009</v>
      </c>
      <c r="M24" s="20">
        <v>20</v>
      </c>
      <c r="N24" s="47">
        <f t="shared" ref="N24:N29" si="18">E24</f>
        <v>41106</v>
      </c>
      <c r="O24" s="41">
        <f t="shared" ref="O24:O29" si="19">DATEDIF(N24,F24,"m")</f>
        <v>12</v>
      </c>
      <c r="P24" s="41">
        <f t="shared" si="10"/>
        <v>27.96</v>
      </c>
      <c r="Q24" s="53">
        <f t="shared" si="0"/>
        <v>27.96</v>
      </c>
      <c r="R24" s="20">
        <f t="shared" si="6"/>
        <v>7.9600000000000009</v>
      </c>
      <c r="S24" s="20">
        <f t="shared" ref="S24:S59" si="20">J24-M24</f>
        <v>0</v>
      </c>
      <c r="T24" s="20">
        <v>13000</v>
      </c>
      <c r="U24" s="30">
        <f t="shared" si="1"/>
        <v>3402.0821917808225</v>
      </c>
      <c r="V24" s="32">
        <f t="shared" si="8"/>
        <v>3402.0821917808225</v>
      </c>
    </row>
    <row r="25" spans="1:22" ht="22.5" customHeight="1" x14ac:dyDescent="0.15">
      <c r="A25" s="7" t="s">
        <v>35</v>
      </c>
      <c r="B25" s="7" t="s">
        <v>27</v>
      </c>
      <c r="C25" s="7" t="s">
        <v>36</v>
      </c>
      <c r="D25" s="9">
        <v>114</v>
      </c>
      <c r="E25" s="25">
        <v>40639</v>
      </c>
      <c r="F25" s="10">
        <v>41487</v>
      </c>
      <c r="G25" s="11">
        <f t="shared" si="2"/>
        <v>27</v>
      </c>
      <c r="H25" s="20">
        <v>1.1100000000000001</v>
      </c>
      <c r="I25" s="19">
        <f t="shared" si="3"/>
        <v>62.910000000000004</v>
      </c>
      <c r="J25" s="20">
        <f>45+14</f>
        <v>59</v>
      </c>
      <c r="K25" s="20">
        <v>53.63</v>
      </c>
      <c r="L25" s="28">
        <f t="shared" si="4"/>
        <v>3.9100000000000037</v>
      </c>
      <c r="M25" s="20">
        <f>43+14</f>
        <v>57</v>
      </c>
      <c r="N25" s="47">
        <f t="shared" si="18"/>
        <v>40639</v>
      </c>
      <c r="O25" s="41">
        <f t="shared" si="19"/>
        <v>27</v>
      </c>
      <c r="P25" s="41">
        <f>O25*2.33</f>
        <v>62.910000000000004</v>
      </c>
      <c r="Q25" s="53">
        <f t="shared" si="0"/>
        <v>62.910000000000004</v>
      </c>
      <c r="R25" s="20">
        <f t="shared" si="6"/>
        <v>5.9100000000000037</v>
      </c>
      <c r="S25" s="20">
        <f t="shared" si="20"/>
        <v>2</v>
      </c>
      <c r="T25" s="20">
        <v>14000</v>
      </c>
      <c r="U25" s="30">
        <f t="shared" si="1"/>
        <v>1799.6712328767139</v>
      </c>
      <c r="V25" s="32">
        <f t="shared" si="8"/>
        <v>2720.2191780821936</v>
      </c>
    </row>
    <row r="26" spans="1:22" ht="22.5" customHeight="1" x14ac:dyDescent="0.15">
      <c r="A26" s="13" t="s">
        <v>37</v>
      </c>
      <c r="B26" s="7" t="s">
        <v>38</v>
      </c>
      <c r="C26" s="7" t="s">
        <v>39</v>
      </c>
      <c r="D26" s="9">
        <v>13</v>
      </c>
      <c r="E26" s="25">
        <v>40269</v>
      </c>
      <c r="F26" s="10">
        <v>41487</v>
      </c>
      <c r="G26" s="11">
        <f t="shared" si="2"/>
        <v>40</v>
      </c>
      <c r="H26" s="19">
        <v>3</v>
      </c>
      <c r="I26" s="19">
        <f t="shared" si="3"/>
        <v>93.2</v>
      </c>
      <c r="J26" s="20">
        <v>42</v>
      </c>
      <c r="K26" s="20">
        <v>84</v>
      </c>
      <c r="L26" s="28">
        <f t="shared" si="4"/>
        <v>51.2</v>
      </c>
      <c r="M26" s="20">
        <v>102</v>
      </c>
      <c r="N26" s="47">
        <f t="shared" si="18"/>
        <v>40269</v>
      </c>
      <c r="O26" s="41">
        <f t="shared" si="19"/>
        <v>40</v>
      </c>
      <c r="P26" s="41">
        <f t="shared" si="10"/>
        <v>93.2</v>
      </c>
      <c r="Q26" s="53">
        <f t="shared" si="0"/>
        <v>93.2</v>
      </c>
      <c r="R26" s="20">
        <f t="shared" si="6"/>
        <v>-8.7999999999999972</v>
      </c>
      <c r="S26" s="20">
        <f t="shared" si="20"/>
        <v>-60</v>
      </c>
      <c r="T26" s="20">
        <v>12000</v>
      </c>
      <c r="U26" s="30">
        <f t="shared" si="1"/>
        <v>20199.452054794521</v>
      </c>
      <c r="V26" s="32">
        <f t="shared" si="8"/>
        <v>-3471.7808219178069</v>
      </c>
    </row>
    <row r="27" spans="1:22" ht="22.5" customHeight="1" x14ac:dyDescent="0.15">
      <c r="A27" s="13" t="s">
        <v>37</v>
      </c>
      <c r="B27" s="7" t="s">
        <v>121</v>
      </c>
      <c r="C27" s="7" t="s">
        <v>40</v>
      </c>
      <c r="D27" s="9">
        <v>93</v>
      </c>
      <c r="E27" s="25">
        <v>40269</v>
      </c>
      <c r="F27" s="10">
        <v>41487</v>
      </c>
      <c r="G27" s="11">
        <f t="shared" si="2"/>
        <v>40</v>
      </c>
      <c r="H27" s="19">
        <v>3</v>
      </c>
      <c r="I27" s="19">
        <f t="shared" si="3"/>
        <v>93.2</v>
      </c>
      <c r="J27" s="20">
        <f>72+14</f>
        <v>86</v>
      </c>
      <c r="K27" s="20">
        <v>84</v>
      </c>
      <c r="L27" s="28">
        <f t="shared" si="4"/>
        <v>7.2000000000000028</v>
      </c>
      <c r="M27" s="20">
        <f>73+14</f>
        <v>87</v>
      </c>
      <c r="N27" s="47">
        <f t="shared" si="18"/>
        <v>40269</v>
      </c>
      <c r="O27" s="41">
        <f t="shared" si="19"/>
        <v>40</v>
      </c>
      <c r="P27" s="41">
        <f t="shared" si="10"/>
        <v>93.2</v>
      </c>
      <c r="Q27" s="53">
        <f t="shared" si="0"/>
        <v>93.2</v>
      </c>
      <c r="R27" s="20">
        <f t="shared" si="6"/>
        <v>6.2000000000000028</v>
      </c>
      <c r="S27" s="20">
        <f t="shared" si="20"/>
        <v>-1</v>
      </c>
      <c r="T27" s="20">
        <v>13000</v>
      </c>
      <c r="U27" s="30">
        <f t="shared" si="1"/>
        <v>3077.260273972604</v>
      </c>
      <c r="V27" s="32">
        <f t="shared" si="8"/>
        <v>2649.8630136986317</v>
      </c>
    </row>
    <row r="28" spans="1:22" ht="22.5" customHeight="1" x14ac:dyDescent="0.15">
      <c r="A28" s="13" t="s">
        <v>37</v>
      </c>
      <c r="B28" s="7" t="s">
        <v>121</v>
      </c>
      <c r="C28" s="7" t="s">
        <v>41</v>
      </c>
      <c r="D28" s="9">
        <v>116</v>
      </c>
      <c r="E28" s="25">
        <v>40695</v>
      </c>
      <c r="F28" s="10">
        <v>41487</v>
      </c>
      <c r="G28" s="11">
        <f t="shared" si="2"/>
        <v>26</v>
      </c>
      <c r="H28" s="19">
        <v>1.1000000000000001</v>
      </c>
      <c r="I28" s="19">
        <f t="shared" si="3"/>
        <v>60.58</v>
      </c>
      <c r="J28" s="20">
        <f>28+13</f>
        <v>41</v>
      </c>
      <c r="K28" s="20">
        <v>51.3</v>
      </c>
      <c r="L28" s="28">
        <f t="shared" si="4"/>
        <v>19.579999999999998</v>
      </c>
      <c r="M28" s="20">
        <f>29+13</f>
        <v>42</v>
      </c>
      <c r="N28" s="47">
        <f t="shared" si="18"/>
        <v>40695</v>
      </c>
      <c r="O28" s="41">
        <f t="shared" si="19"/>
        <v>26</v>
      </c>
      <c r="P28" s="41">
        <f t="shared" si="10"/>
        <v>60.58</v>
      </c>
      <c r="Q28" s="53">
        <f t="shared" si="0"/>
        <v>60.58</v>
      </c>
      <c r="R28" s="20">
        <f t="shared" si="6"/>
        <v>18.579999999999998</v>
      </c>
      <c r="S28" s="20">
        <f t="shared" si="20"/>
        <v>-1</v>
      </c>
      <c r="T28" s="20">
        <v>13000</v>
      </c>
      <c r="U28" s="30">
        <f t="shared" si="1"/>
        <v>8368.4383561643826</v>
      </c>
      <c r="V28" s="32">
        <f t="shared" si="8"/>
        <v>7941.0410958904104</v>
      </c>
    </row>
    <row r="29" spans="1:22" ht="22.5" customHeight="1" x14ac:dyDescent="0.15">
      <c r="A29" s="13" t="s">
        <v>37</v>
      </c>
      <c r="B29" s="7" t="s">
        <v>11</v>
      </c>
      <c r="C29" s="7" t="s">
        <v>42</v>
      </c>
      <c r="D29" s="9">
        <v>143</v>
      </c>
      <c r="E29" s="25">
        <v>41157</v>
      </c>
      <c r="F29" s="10">
        <v>41487</v>
      </c>
      <c r="G29" s="11">
        <f t="shared" si="2"/>
        <v>10</v>
      </c>
      <c r="H29" s="20">
        <v>0.06</v>
      </c>
      <c r="I29" s="19">
        <f t="shared" si="3"/>
        <v>23.3</v>
      </c>
      <c r="J29" s="20">
        <f>5+14</f>
        <v>19</v>
      </c>
      <c r="K29" s="20">
        <v>13.98</v>
      </c>
      <c r="L29" s="28">
        <f t="shared" si="4"/>
        <v>4.3000000000000007</v>
      </c>
      <c r="M29" s="20">
        <f>5+14</f>
        <v>19</v>
      </c>
      <c r="N29" s="47">
        <f t="shared" si="18"/>
        <v>41157</v>
      </c>
      <c r="O29" s="41">
        <f t="shared" si="19"/>
        <v>10</v>
      </c>
      <c r="P29" s="41">
        <f t="shared" si="10"/>
        <v>23.3</v>
      </c>
      <c r="Q29" s="53">
        <f t="shared" si="0"/>
        <v>23.3</v>
      </c>
      <c r="R29" s="20">
        <f t="shared" si="6"/>
        <v>4.3000000000000007</v>
      </c>
      <c r="S29" s="20">
        <f t="shared" si="20"/>
        <v>0</v>
      </c>
      <c r="T29" s="20">
        <v>13000</v>
      </c>
      <c r="U29" s="30">
        <f t="shared" si="1"/>
        <v>1837.8082191780825</v>
      </c>
      <c r="V29" s="32">
        <f t="shared" si="8"/>
        <v>1837.8082191780825</v>
      </c>
    </row>
    <row r="30" spans="1:22" ht="22.5" customHeight="1" x14ac:dyDescent="0.15">
      <c r="A30" s="13" t="s">
        <v>37</v>
      </c>
      <c r="B30" s="7" t="s">
        <v>13</v>
      </c>
      <c r="C30" s="7" t="s">
        <v>43</v>
      </c>
      <c r="D30" s="9">
        <v>25</v>
      </c>
      <c r="E30" s="25">
        <v>38534</v>
      </c>
      <c r="F30" s="10">
        <v>41487</v>
      </c>
      <c r="G30" s="11">
        <f t="shared" si="2"/>
        <v>97</v>
      </c>
      <c r="H30" s="20">
        <v>7.09</v>
      </c>
      <c r="I30" s="19">
        <f t="shared" si="3"/>
        <v>226.01000000000002</v>
      </c>
      <c r="J30" s="20">
        <v>180</v>
      </c>
      <c r="K30" s="20">
        <v>216.97</v>
      </c>
      <c r="L30" s="28">
        <f t="shared" si="4"/>
        <v>46.010000000000019</v>
      </c>
      <c r="M30" s="20">
        <v>154</v>
      </c>
      <c r="N30" s="49">
        <v>39448</v>
      </c>
      <c r="O30" s="41">
        <f>DATEDIF(N30,F30,"m")</f>
        <v>67</v>
      </c>
      <c r="P30" s="41">
        <f>O30*2.33</f>
        <v>156.11000000000001</v>
      </c>
      <c r="Q30" s="53">
        <f t="shared" si="0"/>
        <v>156.11000000000001</v>
      </c>
      <c r="R30" s="20">
        <f t="shared" si="6"/>
        <v>2.1100000000000136</v>
      </c>
      <c r="S30" s="42"/>
      <c r="T30" s="20">
        <v>18000</v>
      </c>
      <c r="U30" s="30">
        <f t="shared" si="1"/>
        <v>27227.835616438369</v>
      </c>
      <c r="V30" s="32">
        <f t="shared" si="8"/>
        <v>1248.6575342465835</v>
      </c>
    </row>
    <row r="31" spans="1:22" ht="22.5" customHeight="1" x14ac:dyDescent="0.15">
      <c r="A31" s="13" t="s">
        <v>37</v>
      </c>
      <c r="B31" s="7" t="s">
        <v>121</v>
      </c>
      <c r="C31" s="7" t="s">
        <v>44</v>
      </c>
      <c r="D31" s="9">
        <v>117</v>
      </c>
      <c r="E31" s="25">
        <v>40695</v>
      </c>
      <c r="F31" s="10">
        <v>41487</v>
      </c>
      <c r="G31" s="11">
        <f t="shared" si="2"/>
        <v>26</v>
      </c>
      <c r="H31" s="19">
        <v>1.1000000000000001</v>
      </c>
      <c r="I31" s="19">
        <f t="shared" si="3"/>
        <v>60.58</v>
      </c>
      <c r="J31" s="20">
        <v>53</v>
      </c>
      <c r="K31" s="20">
        <v>51.3</v>
      </c>
      <c r="L31" s="28">
        <f t="shared" si="4"/>
        <v>7.5799999999999983</v>
      </c>
      <c r="M31" s="20">
        <v>53</v>
      </c>
      <c r="N31" s="47">
        <f t="shared" ref="N31:N37" si="21">E31</f>
        <v>40695</v>
      </c>
      <c r="O31" s="41">
        <f t="shared" ref="O31:O37" si="22">DATEDIF(N31,F31,"m")</f>
        <v>26</v>
      </c>
      <c r="P31" s="41">
        <f t="shared" si="10"/>
        <v>60.58</v>
      </c>
      <c r="Q31" s="53">
        <f t="shared" si="0"/>
        <v>60.58</v>
      </c>
      <c r="R31" s="20">
        <f t="shared" si="6"/>
        <v>7.5799999999999983</v>
      </c>
      <c r="S31" s="20">
        <f t="shared" si="20"/>
        <v>0</v>
      </c>
      <c r="T31" s="20">
        <v>13000</v>
      </c>
      <c r="U31" s="30">
        <f t="shared" si="1"/>
        <v>3239.6712328767117</v>
      </c>
      <c r="V31" s="32">
        <f t="shared" si="8"/>
        <v>3239.6712328767117</v>
      </c>
    </row>
    <row r="32" spans="1:22" ht="22.5" customHeight="1" x14ac:dyDescent="0.15">
      <c r="A32" s="13" t="s">
        <v>37</v>
      </c>
      <c r="B32" s="7" t="s">
        <v>11</v>
      </c>
      <c r="C32" s="13" t="s">
        <v>49</v>
      </c>
      <c r="D32" s="9">
        <v>149</v>
      </c>
      <c r="E32" s="25">
        <v>41260</v>
      </c>
      <c r="F32" s="10">
        <v>41487</v>
      </c>
      <c r="G32" s="11">
        <f t="shared" si="2"/>
        <v>7</v>
      </c>
      <c r="H32" s="20">
        <v>0.03</v>
      </c>
      <c r="I32" s="19">
        <f t="shared" si="3"/>
        <v>16.310000000000002</v>
      </c>
      <c r="J32" s="20">
        <v>0</v>
      </c>
      <c r="K32" s="20">
        <v>6.99</v>
      </c>
      <c r="L32" s="28">
        <f t="shared" si="4"/>
        <v>16.310000000000002</v>
      </c>
      <c r="M32" s="20">
        <v>9</v>
      </c>
      <c r="N32" s="47">
        <f t="shared" si="21"/>
        <v>41260</v>
      </c>
      <c r="O32" s="41">
        <f t="shared" si="22"/>
        <v>7</v>
      </c>
      <c r="P32" s="41">
        <f t="shared" si="10"/>
        <v>16.310000000000002</v>
      </c>
      <c r="Q32" s="53">
        <f t="shared" si="0"/>
        <v>16.310000000000002</v>
      </c>
      <c r="R32" s="20">
        <f t="shared" si="6"/>
        <v>7.3100000000000023</v>
      </c>
      <c r="S32" s="20">
        <f t="shared" si="20"/>
        <v>-9</v>
      </c>
      <c r="T32" s="20">
        <v>13000</v>
      </c>
      <c r="U32" s="30">
        <f t="shared" si="1"/>
        <v>6970.8493150684944</v>
      </c>
      <c r="V32" s="32">
        <f t="shared" si="8"/>
        <v>3124.2739726027407</v>
      </c>
    </row>
    <row r="33" spans="1:22" ht="22.5" customHeight="1" x14ac:dyDescent="0.15">
      <c r="A33" s="13" t="s">
        <v>37</v>
      </c>
      <c r="B33" s="7" t="s">
        <v>122</v>
      </c>
      <c r="C33" s="13" t="s">
        <v>50</v>
      </c>
      <c r="D33" s="9">
        <v>153</v>
      </c>
      <c r="E33" s="25">
        <v>41306</v>
      </c>
      <c r="F33" s="10">
        <v>41487</v>
      </c>
      <c r="G33" s="11">
        <f t="shared" si="2"/>
        <v>6</v>
      </c>
      <c r="H33" s="20">
        <v>0.02</v>
      </c>
      <c r="I33" s="19">
        <f t="shared" si="3"/>
        <v>13.98</v>
      </c>
      <c r="J33" s="20">
        <v>0</v>
      </c>
      <c r="K33" s="20">
        <v>4.66</v>
      </c>
      <c r="L33" s="28">
        <f t="shared" si="4"/>
        <v>13.98</v>
      </c>
      <c r="M33" s="20">
        <v>0</v>
      </c>
      <c r="N33" s="47">
        <f t="shared" si="21"/>
        <v>41306</v>
      </c>
      <c r="O33" s="41">
        <f t="shared" si="22"/>
        <v>6</v>
      </c>
      <c r="P33" s="41">
        <f t="shared" si="10"/>
        <v>13.98</v>
      </c>
      <c r="Q33" s="53">
        <f t="shared" si="0"/>
        <v>13.98</v>
      </c>
      <c r="R33" s="20">
        <f t="shared" si="6"/>
        <v>13.98</v>
      </c>
      <c r="S33" s="20">
        <f t="shared" si="20"/>
        <v>0</v>
      </c>
      <c r="T33" s="20">
        <v>13000</v>
      </c>
      <c r="U33" s="30">
        <f t="shared" si="1"/>
        <v>5975.0136986301377</v>
      </c>
      <c r="V33" s="32">
        <f t="shared" si="8"/>
        <v>5975.0136986301377</v>
      </c>
    </row>
    <row r="34" spans="1:22" ht="22.5" customHeight="1" x14ac:dyDescent="0.15">
      <c r="A34" s="13" t="s">
        <v>37</v>
      </c>
      <c r="B34" s="7" t="s">
        <v>122</v>
      </c>
      <c r="C34" s="14" t="s">
        <v>51</v>
      </c>
      <c r="D34" s="9">
        <v>152</v>
      </c>
      <c r="E34" s="25">
        <v>41288</v>
      </c>
      <c r="F34" s="10">
        <v>41487</v>
      </c>
      <c r="G34" s="11">
        <f t="shared" si="2"/>
        <v>6</v>
      </c>
      <c r="H34" s="20">
        <v>0.02</v>
      </c>
      <c r="I34" s="19">
        <f t="shared" si="3"/>
        <v>13.98</v>
      </c>
      <c r="J34" s="20">
        <v>3</v>
      </c>
      <c r="K34" s="20">
        <v>4.66</v>
      </c>
      <c r="L34" s="28">
        <f t="shared" si="4"/>
        <v>10.98</v>
      </c>
      <c r="M34" s="20">
        <v>3</v>
      </c>
      <c r="N34" s="47">
        <f t="shared" si="21"/>
        <v>41288</v>
      </c>
      <c r="O34" s="41">
        <f t="shared" si="22"/>
        <v>6</v>
      </c>
      <c r="P34" s="41">
        <f t="shared" si="10"/>
        <v>13.98</v>
      </c>
      <c r="Q34" s="53">
        <f t="shared" si="0"/>
        <v>13.98</v>
      </c>
      <c r="R34" s="20">
        <f t="shared" si="6"/>
        <v>10.98</v>
      </c>
      <c r="S34" s="20">
        <f t="shared" si="20"/>
        <v>0</v>
      </c>
      <c r="T34" s="20">
        <v>13000</v>
      </c>
      <c r="U34" s="30">
        <f t="shared" si="1"/>
        <v>4692.82191780822</v>
      </c>
      <c r="V34" s="32">
        <f t="shared" si="8"/>
        <v>4692.82191780822</v>
      </c>
    </row>
    <row r="35" spans="1:22" ht="22.5" customHeight="1" x14ac:dyDescent="0.15">
      <c r="A35" s="7" t="s">
        <v>59</v>
      </c>
      <c r="B35" s="7" t="s">
        <v>38</v>
      </c>
      <c r="C35" s="15" t="s">
        <v>58</v>
      </c>
      <c r="D35" s="16">
        <v>122</v>
      </c>
      <c r="E35" s="25">
        <v>40787</v>
      </c>
      <c r="F35" s="10">
        <v>41487</v>
      </c>
      <c r="G35" s="11">
        <f t="shared" si="2"/>
        <v>23</v>
      </c>
      <c r="H35" s="20">
        <v>1.07</v>
      </c>
      <c r="I35" s="19">
        <f t="shared" si="3"/>
        <v>53.59</v>
      </c>
      <c r="J35" s="20">
        <v>62</v>
      </c>
      <c r="K35" s="20">
        <v>44.31</v>
      </c>
      <c r="L35" s="28">
        <f t="shared" si="4"/>
        <v>-8.4099999999999966</v>
      </c>
      <c r="M35" s="20">
        <v>61</v>
      </c>
      <c r="N35" s="47">
        <f t="shared" si="21"/>
        <v>40787</v>
      </c>
      <c r="O35" s="41">
        <f t="shared" si="22"/>
        <v>23</v>
      </c>
      <c r="P35" s="41">
        <f t="shared" si="10"/>
        <v>53.59</v>
      </c>
      <c r="Q35" s="53">
        <f t="shared" si="0"/>
        <v>53.59</v>
      </c>
      <c r="R35" s="20">
        <f t="shared" si="6"/>
        <v>-7.4099999999999966</v>
      </c>
      <c r="S35" s="20">
        <f t="shared" si="20"/>
        <v>1</v>
      </c>
      <c r="T35" s="20">
        <v>12000</v>
      </c>
      <c r="U35" s="30">
        <f t="shared" si="1"/>
        <v>-3317.9178082191765</v>
      </c>
      <c r="V35" s="32">
        <f t="shared" si="8"/>
        <v>-2923.3972602739714</v>
      </c>
    </row>
    <row r="36" spans="1:22" ht="22.5" customHeight="1" x14ac:dyDescent="0.15">
      <c r="A36" s="7" t="s">
        <v>59</v>
      </c>
      <c r="B36" s="7" t="s">
        <v>11</v>
      </c>
      <c r="C36" s="7" t="s">
        <v>60</v>
      </c>
      <c r="D36" s="9">
        <v>84</v>
      </c>
      <c r="E36" s="25">
        <v>40136</v>
      </c>
      <c r="F36" s="10">
        <v>41487</v>
      </c>
      <c r="G36" s="11">
        <f t="shared" si="2"/>
        <v>44</v>
      </c>
      <c r="H36" s="20">
        <v>3.04</v>
      </c>
      <c r="I36" s="19">
        <f t="shared" si="3"/>
        <v>102.52000000000001</v>
      </c>
      <c r="J36" s="20">
        <v>79</v>
      </c>
      <c r="K36" s="20">
        <v>93.32</v>
      </c>
      <c r="L36" s="28">
        <f t="shared" si="4"/>
        <v>23.52000000000001</v>
      </c>
      <c r="M36" s="20">
        <v>115</v>
      </c>
      <c r="N36" s="47">
        <f t="shared" si="21"/>
        <v>40136</v>
      </c>
      <c r="O36" s="41">
        <f t="shared" si="22"/>
        <v>44</v>
      </c>
      <c r="P36" s="41">
        <f t="shared" si="10"/>
        <v>102.52000000000001</v>
      </c>
      <c r="Q36" s="53">
        <f t="shared" si="0"/>
        <v>102.52000000000001</v>
      </c>
      <c r="R36" s="20">
        <f t="shared" si="6"/>
        <v>-12.47999999999999</v>
      </c>
      <c r="S36" s="20">
        <f t="shared" si="20"/>
        <v>-36</v>
      </c>
      <c r="T36" s="20">
        <v>13000</v>
      </c>
      <c r="U36" s="30">
        <f t="shared" si="1"/>
        <v>10052.383561643841</v>
      </c>
      <c r="V36" s="32">
        <f t="shared" si="8"/>
        <v>-5333.9178082191738</v>
      </c>
    </row>
    <row r="37" spans="1:22" ht="22.5" customHeight="1" x14ac:dyDescent="0.15">
      <c r="A37" s="7" t="s">
        <v>59</v>
      </c>
      <c r="B37" s="7" t="s">
        <v>13</v>
      </c>
      <c r="C37" s="7" t="s">
        <v>61</v>
      </c>
      <c r="D37" s="9">
        <v>82</v>
      </c>
      <c r="E37" s="25">
        <v>40119</v>
      </c>
      <c r="F37" s="10">
        <v>41487</v>
      </c>
      <c r="G37" s="11">
        <f t="shared" si="2"/>
        <v>44</v>
      </c>
      <c r="H37" s="20">
        <v>3.05</v>
      </c>
      <c r="I37" s="19">
        <f t="shared" si="3"/>
        <v>102.52000000000001</v>
      </c>
      <c r="J37" s="20">
        <f>66+1+14</f>
        <v>81</v>
      </c>
      <c r="K37" s="20">
        <v>95.65</v>
      </c>
      <c r="L37" s="28">
        <f t="shared" si="4"/>
        <v>21.52000000000001</v>
      </c>
      <c r="M37" s="20">
        <f>90+14</f>
        <v>104</v>
      </c>
      <c r="N37" s="47">
        <f t="shared" si="21"/>
        <v>40119</v>
      </c>
      <c r="O37" s="41">
        <f t="shared" si="22"/>
        <v>44</v>
      </c>
      <c r="P37" s="41">
        <f t="shared" si="10"/>
        <v>102.52000000000001</v>
      </c>
      <c r="Q37" s="53">
        <f t="shared" si="0"/>
        <v>102.52000000000001</v>
      </c>
      <c r="R37" s="20">
        <f t="shared" si="6"/>
        <v>-1.4799999999999898</v>
      </c>
      <c r="S37" s="20">
        <f t="shared" si="20"/>
        <v>-23</v>
      </c>
      <c r="T37" s="20">
        <v>18000</v>
      </c>
      <c r="U37" s="30">
        <f t="shared" si="1"/>
        <v>12735.123287671238</v>
      </c>
      <c r="V37" s="32">
        <f t="shared" si="8"/>
        <v>-875.83561643835014</v>
      </c>
    </row>
    <row r="38" spans="1:22" ht="22.5" customHeight="1" x14ac:dyDescent="0.15">
      <c r="A38" s="7" t="s">
        <v>59</v>
      </c>
      <c r="B38" s="7" t="s">
        <v>27</v>
      </c>
      <c r="C38" s="7" t="s">
        <v>62</v>
      </c>
      <c r="D38" s="9">
        <v>18</v>
      </c>
      <c r="E38" s="25">
        <v>38215</v>
      </c>
      <c r="F38" s="10">
        <v>41487</v>
      </c>
      <c r="G38" s="11">
        <f t="shared" si="2"/>
        <v>107</v>
      </c>
      <c r="H38" s="20">
        <v>8.07</v>
      </c>
      <c r="I38" s="19">
        <f t="shared" si="3"/>
        <v>249.31</v>
      </c>
      <c r="J38" s="20">
        <v>209</v>
      </c>
      <c r="K38" s="20">
        <v>240.31</v>
      </c>
      <c r="L38" s="28">
        <f t="shared" si="4"/>
        <v>40.31</v>
      </c>
      <c r="M38" s="20">
        <v>147</v>
      </c>
      <c r="N38" s="49">
        <v>39448</v>
      </c>
      <c r="O38" s="41">
        <f>DATEDIF(N38,F38,"m")</f>
        <v>67</v>
      </c>
      <c r="P38" s="41">
        <f t="shared" si="10"/>
        <v>156.11000000000001</v>
      </c>
      <c r="Q38" s="53">
        <f t="shared" si="0"/>
        <v>156.11000000000001</v>
      </c>
      <c r="R38" s="20">
        <f t="shared" si="6"/>
        <v>9.1100000000000136</v>
      </c>
      <c r="S38" s="42"/>
      <c r="T38" s="20">
        <v>14000</v>
      </c>
      <c r="U38" s="30">
        <f t="shared" si="1"/>
        <v>18553.64383561644</v>
      </c>
      <c r="V38" s="32">
        <f t="shared" si="8"/>
        <v>4193.0958904109648</v>
      </c>
    </row>
    <row r="39" spans="1:22" ht="22.5" customHeight="1" x14ac:dyDescent="0.15">
      <c r="A39" s="7" t="s">
        <v>59</v>
      </c>
      <c r="B39" s="7" t="s">
        <v>11</v>
      </c>
      <c r="C39" s="7" t="s">
        <v>63</v>
      </c>
      <c r="D39" s="9">
        <v>104</v>
      </c>
      <c r="E39" s="25">
        <v>40469</v>
      </c>
      <c r="F39" s="10">
        <v>41487</v>
      </c>
      <c r="G39" s="11">
        <f t="shared" si="2"/>
        <v>33</v>
      </c>
      <c r="H39" s="20">
        <v>2.0499999999999998</v>
      </c>
      <c r="I39" s="19">
        <f t="shared" si="3"/>
        <v>76.89</v>
      </c>
      <c r="J39" s="20">
        <v>70</v>
      </c>
      <c r="K39" s="20">
        <v>67.650000000000006</v>
      </c>
      <c r="L39" s="28">
        <f t="shared" si="4"/>
        <v>6.8900000000000006</v>
      </c>
      <c r="M39" s="20">
        <v>70</v>
      </c>
      <c r="N39" s="47">
        <f t="shared" ref="N39:N40" si="23">E39</f>
        <v>40469</v>
      </c>
      <c r="O39" s="41">
        <f t="shared" ref="O39:O40" si="24">DATEDIF(N39,F39,"m")</f>
        <v>33</v>
      </c>
      <c r="P39" s="41">
        <f t="shared" si="10"/>
        <v>76.89</v>
      </c>
      <c r="Q39" s="53">
        <f t="shared" si="0"/>
        <v>76.89</v>
      </c>
      <c r="R39" s="20">
        <f t="shared" si="6"/>
        <v>6.8900000000000006</v>
      </c>
      <c r="S39" s="20">
        <f t="shared" si="20"/>
        <v>0</v>
      </c>
      <c r="T39" s="20">
        <v>13000</v>
      </c>
      <c r="U39" s="30">
        <f t="shared" si="1"/>
        <v>2944.7671232876714</v>
      </c>
      <c r="V39" s="32">
        <f t="shared" si="8"/>
        <v>2944.7671232876714</v>
      </c>
    </row>
    <row r="40" spans="1:22" ht="22.5" customHeight="1" x14ac:dyDescent="0.15">
      <c r="A40" s="7" t="s">
        <v>59</v>
      </c>
      <c r="B40" s="7" t="s">
        <v>122</v>
      </c>
      <c r="C40" s="7" t="s">
        <v>64</v>
      </c>
      <c r="D40" s="9">
        <v>150</v>
      </c>
      <c r="E40" s="25">
        <v>41283</v>
      </c>
      <c r="F40" s="10">
        <v>41487</v>
      </c>
      <c r="G40" s="11">
        <f t="shared" si="2"/>
        <v>6</v>
      </c>
      <c r="H40" s="20">
        <v>0.02</v>
      </c>
      <c r="I40" s="19">
        <f t="shared" si="3"/>
        <v>13.98</v>
      </c>
      <c r="J40" s="20">
        <f>1+1+14+1+1</f>
        <v>18</v>
      </c>
      <c r="K40" s="20">
        <v>4.66</v>
      </c>
      <c r="L40" s="28">
        <f t="shared" si="4"/>
        <v>-4.0199999999999996</v>
      </c>
      <c r="M40" s="20">
        <f>1+1+14</f>
        <v>16</v>
      </c>
      <c r="N40" s="47">
        <f t="shared" si="23"/>
        <v>41283</v>
      </c>
      <c r="O40" s="41">
        <f t="shared" si="24"/>
        <v>6</v>
      </c>
      <c r="P40" s="41">
        <f>O40*2.33</f>
        <v>13.98</v>
      </c>
      <c r="Q40" s="53">
        <f t="shared" si="0"/>
        <v>13.98</v>
      </c>
      <c r="R40" s="20">
        <f t="shared" si="6"/>
        <v>-2.0199999999999996</v>
      </c>
      <c r="S40" s="20">
        <f t="shared" si="20"/>
        <v>2</v>
      </c>
      <c r="T40" s="20">
        <v>13000</v>
      </c>
      <c r="U40" s="30">
        <f t="shared" si="1"/>
        <v>-1718.1369863013697</v>
      </c>
      <c r="V40" s="32">
        <f t="shared" si="8"/>
        <v>-863.34246575342456</v>
      </c>
    </row>
    <row r="41" spans="1:22" ht="22.5" customHeight="1" x14ac:dyDescent="0.15">
      <c r="A41" s="7" t="s">
        <v>65</v>
      </c>
      <c r="B41" s="7" t="s">
        <v>66</v>
      </c>
      <c r="C41" s="7" t="s">
        <v>67</v>
      </c>
      <c r="D41" s="9">
        <v>31</v>
      </c>
      <c r="E41" s="25">
        <v>38727</v>
      </c>
      <c r="F41" s="10">
        <v>41487</v>
      </c>
      <c r="G41" s="11">
        <f t="shared" si="2"/>
        <v>90</v>
      </c>
      <c r="H41" s="20">
        <v>7.02</v>
      </c>
      <c r="I41" s="19">
        <f t="shared" si="3"/>
        <v>209.70000000000002</v>
      </c>
      <c r="J41" s="20">
        <v>177</v>
      </c>
      <c r="K41" s="20">
        <v>200.66</v>
      </c>
      <c r="L41" s="28">
        <f t="shared" si="4"/>
        <v>32.700000000000017</v>
      </c>
      <c r="M41" s="20">
        <v>124</v>
      </c>
      <c r="N41" s="49">
        <v>39448</v>
      </c>
      <c r="O41" s="41">
        <f>DATEDIF(N41,F41,"m")</f>
        <v>67</v>
      </c>
      <c r="P41" s="41">
        <f t="shared" si="10"/>
        <v>156.11000000000001</v>
      </c>
      <c r="Q41" s="53">
        <f t="shared" si="0"/>
        <v>156.11000000000001</v>
      </c>
      <c r="R41" s="20">
        <f t="shared" si="6"/>
        <v>32.110000000000014</v>
      </c>
      <c r="S41" s="42"/>
      <c r="T41" s="20">
        <v>18000</v>
      </c>
      <c r="U41" s="30">
        <f t="shared" si="1"/>
        <v>19351.23287671234</v>
      </c>
      <c r="V41" s="32">
        <f t="shared" si="8"/>
        <v>19002.082191780832</v>
      </c>
    </row>
    <row r="42" spans="1:22" ht="22.5" customHeight="1" x14ac:dyDescent="0.15">
      <c r="A42" s="7" t="s">
        <v>65</v>
      </c>
      <c r="B42" s="7" t="s">
        <v>68</v>
      </c>
      <c r="C42" s="7" t="s">
        <v>69</v>
      </c>
      <c r="D42" s="9">
        <v>127</v>
      </c>
      <c r="E42" s="25">
        <v>40918</v>
      </c>
      <c r="F42" s="10">
        <v>41487</v>
      </c>
      <c r="G42" s="11">
        <f t="shared" si="2"/>
        <v>18</v>
      </c>
      <c r="H42" s="20">
        <v>1.02</v>
      </c>
      <c r="I42" s="19">
        <f t="shared" si="3"/>
        <v>41.94</v>
      </c>
      <c r="J42" s="20">
        <v>42</v>
      </c>
      <c r="K42" s="20">
        <v>32.659999999999997</v>
      </c>
      <c r="L42" s="28">
        <f t="shared" si="4"/>
        <v>-6.0000000000002274E-2</v>
      </c>
      <c r="M42" s="20">
        <v>40</v>
      </c>
      <c r="N42" s="47">
        <f t="shared" ref="N42" si="25">E42</f>
        <v>40918</v>
      </c>
      <c r="O42" s="41">
        <f t="shared" ref="O42" si="26">DATEDIF(N42,F42,"m")</f>
        <v>18</v>
      </c>
      <c r="P42" s="41">
        <f t="shared" si="10"/>
        <v>41.94</v>
      </c>
      <c r="Q42" s="53">
        <f t="shared" si="0"/>
        <v>41.94</v>
      </c>
      <c r="R42" s="20">
        <f t="shared" si="6"/>
        <v>1.9399999999999977</v>
      </c>
      <c r="S42" s="20">
        <f t="shared" si="20"/>
        <v>2</v>
      </c>
      <c r="T42" s="20">
        <v>12000</v>
      </c>
      <c r="U42" s="30">
        <f t="shared" si="1"/>
        <v>-23.671232876713226</v>
      </c>
      <c r="V42" s="32">
        <f t="shared" si="8"/>
        <v>765.36986301369768</v>
      </c>
    </row>
    <row r="43" spans="1:22" ht="22.5" customHeight="1" x14ac:dyDescent="0.15">
      <c r="A43" s="7" t="s">
        <v>65</v>
      </c>
      <c r="B43" s="7" t="s">
        <v>68</v>
      </c>
      <c r="C43" s="7" t="s">
        <v>70</v>
      </c>
      <c r="D43" s="9">
        <v>58</v>
      </c>
      <c r="E43" s="25">
        <v>39479</v>
      </c>
      <c r="F43" s="10">
        <v>41487</v>
      </c>
      <c r="G43" s="11">
        <f t="shared" si="2"/>
        <v>66</v>
      </c>
      <c r="H43" s="20">
        <v>5.0199999999999996</v>
      </c>
      <c r="I43" s="19">
        <f t="shared" si="3"/>
        <v>153.78</v>
      </c>
      <c r="J43" s="20">
        <f>143+10</f>
        <v>153</v>
      </c>
      <c r="K43" s="20">
        <v>144.66</v>
      </c>
      <c r="L43" s="28">
        <f t="shared" si="4"/>
        <v>0.78000000000000114</v>
      </c>
      <c r="M43" s="20">
        <f>145+10</f>
        <v>155</v>
      </c>
      <c r="N43" s="49">
        <v>39448</v>
      </c>
      <c r="O43" s="41">
        <f>DATEDIF(E43,F43,"m")</f>
        <v>66</v>
      </c>
      <c r="P43" s="41">
        <f t="shared" si="10"/>
        <v>153.78</v>
      </c>
      <c r="Q43" s="53">
        <f t="shared" si="0"/>
        <v>153.78</v>
      </c>
      <c r="R43" s="20">
        <f t="shared" si="6"/>
        <v>-1.2199999999999989</v>
      </c>
      <c r="S43" s="42"/>
      <c r="T43" s="20">
        <v>12000</v>
      </c>
      <c r="U43" s="30">
        <f t="shared" si="1"/>
        <v>307.72602739726074</v>
      </c>
      <c r="V43" s="32">
        <f t="shared" si="8"/>
        <v>-481.31506849315019</v>
      </c>
    </row>
    <row r="44" spans="1:22" ht="22.5" customHeight="1" x14ac:dyDescent="0.15">
      <c r="A44" s="7" t="s">
        <v>65</v>
      </c>
      <c r="B44" s="7" t="s">
        <v>68</v>
      </c>
      <c r="C44" s="7" t="s">
        <v>71</v>
      </c>
      <c r="D44" s="9">
        <v>96</v>
      </c>
      <c r="E44" s="25">
        <v>40360</v>
      </c>
      <c r="F44" s="10">
        <v>41487</v>
      </c>
      <c r="G44" s="11">
        <f t="shared" si="2"/>
        <v>37</v>
      </c>
      <c r="H44" s="20">
        <v>2.09</v>
      </c>
      <c r="I44" s="19">
        <f t="shared" si="3"/>
        <v>86.210000000000008</v>
      </c>
      <c r="J44" s="20">
        <f>42+13</f>
        <v>55</v>
      </c>
      <c r="K44" s="20">
        <v>76.97</v>
      </c>
      <c r="L44" s="28">
        <f t="shared" si="4"/>
        <v>31.210000000000008</v>
      </c>
      <c r="M44" s="20">
        <f>54+13</f>
        <v>67</v>
      </c>
      <c r="N44" s="47">
        <f t="shared" ref="N44:N46" si="27">E44</f>
        <v>40360</v>
      </c>
      <c r="O44" s="41">
        <f t="shared" ref="O44:O46" si="28">DATEDIF(N44,F44,"m")</f>
        <v>37</v>
      </c>
      <c r="P44" s="41">
        <f t="shared" si="10"/>
        <v>86.210000000000008</v>
      </c>
      <c r="Q44" s="53">
        <f t="shared" si="0"/>
        <v>86.210000000000008</v>
      </c>
      <c r="R44" s="20">
        <f t="shared" si="6"/>
        <v>19.210000000000008</v>
      </c>
      <c r="S44" s="20">
        <f t="shared" si="20"/>
        <v>-12</v>
      </c>
      <c r="T44" s="20">
        <v>12000</v>
      </c>
      <c r="U44" s="30">
        <f t="shared" si="1"/>
        <v>12312.986301369865</v>
      </c>
      <c r="V44" s="32">
        <f t="shared" si="8"/>
        <v>7578.7397260274001</v>
      </c>
    </row>
    <row r="45" spans="1:22" ht="22.5" customHeight="1" x14ac:dyDescent="0.15">
      <c r="A45" s="7" t="s">
        <v>65</v>
      </c>
      <c r="B45" s="7" t="s">
        <v>68</v>
      </c>
      <c r="C45" s="7" t="s">
        <v>72</v>
      </c>
      <c r="D45" s="9">
        <v>133</v>
      </c>
      <c r="E45" s="25">
        <v>41001</v>
      </c>
      <c r="F45" s="10">
        <v>41487</v>
      </c>
      <c r="G45" s="11">
        <f t="shared" si="2"/>
        <v>15</v>
      </c>
      <c r="H45" s="19">
        <v>1</v>
      </c>
      <c r="I45" s="19">
        <f t="shared" si="3"/>
        <v>34.950000000000003</v>
      </c>
      <c r="J45" s="20">
        <v>10</v>
      </c>
      <c r="K45" s="20">
        <v>28</v>
      </c>
      <c r="L45" s="28">
        <f t="shared" si="4"/>
        <v>24.950000000000003</v>
      </c>
      <c r="M45" s="20">
        <v>16</v>
      </c>
      <c r="N45" s="47">
        <f t="shared" si="27"/>
        <v>41001</v>
      </c>
      <c r="O45" s="41">
        <f t="shared" si="28"/>
        <v>15</v>
      </c>
      <c r="P45" s="41">
        <f t="shared" si="10"/>
        <v>34.950000000000003</v>
      </c>
      <c r="Q45" s="53">
        <f t="shared" si="0"/>
        <v>34.950000000000003</v>
      </c>
      <c r="R45" s="20">
        <f t="shared" si="6"/>
        <v>18.950000000000003</v>
      </c>
      <c r="S45" s="20">
        <f t="shared" si="20"/>
        <v>-6</v>
      </c>
      <c r="T45" s="20">
        <v>12000</v>
      </c>
      <c r="U45" s="30">
        <f t="shared" si="1"/>
        <v>9843.287671232878</v>
      </c>
      <c r="V45" s="32">
        <f t="shared" si="8"/>
        <v>7476.1643835616451</v>
      </c>
    </row>
    <row r="46" spans="1:22" ht="22.5" customHeight="1" x14ac:dyDescent="0.15">
      <c r="A46" s="7" t="s">
        <v>65</v>
      </c>
      <c r="B46" s="7" t="s">
        <v>73</v>
      </c>
      <c r="C46" s="7" t="s">
        <v>74</v>
      </c>
      <c r="D46" s="9">
        <v>135</v>
      </c>
      <c r="E46" s="25">
        <v>41067</v>
      </c>
      <c r="F46" s="10">
        <v>41487</v>
      </c>
      <c r="G46" s="11">
        <f t="shared" si="2"/>
        <v>13</v>
      </c>
      <c r="H46" s="20">
        <v>0.09</v>
      </c>
      <c r="I46" s="19">
        <f t="shared" si="3"/>
        <v>30.29</v>
      </c>
      <c r="J46" s="20">
        <v>35</v>
      </c>
      <c r="K46" s="20">
        <v>20.97</v>
      </c>
      <c r="L46" s="28">
        <f t="shared" si="4"/>
        <v>-4.7100000000000009</v>
      </c>
      <c r="M46" s="20">
        <v>42</v>
      </c>
      <c r="N46" s="47">
        <f t="shared" si="27"/>
        <v>41067</v>
      </c>
      <c r="O46" s="41">
        <f t="shared" si="28"/>
        <v>13</v>
      </c>
      <c r="P46" s="41">
        <f>O46*2.33</f>
        <v>30.29</v>
      </c>
      <c r="Q46" s="53">
        <f t="shared" si="0"/>
        <v>30.29</v>
      </c>
      <c r="R46" s="20">
        <f t="shared" si="6"/>
        <v>-11.71</v>
      </c>
      <c r="S46" s="20">
        <f t="shared" si="20"/>
        <v>-7</v>
      </c>
      <c r="T46" s="20">
        <v>13000</v>
      </c>
      <c r="U46" s="30">
        <f t="shared" si="1"/>
        <v>-2013.0410958904115</v>
      </c>
      <c r="V46" s="32">
        <f t="shared" si="8"/>
        <v>-5004.82191780822</v>
      </c>
    </row>
    <row r="47" spans="1:22" ht="22.5" customHeight="1" x14ac:dyDescent="0.15">
      <c r="A47" s="7" t="s">
        <v>65</v>
      </c>
      <c r="B47" s="7" t="s">
        <v>75</v>
      </c>
      <c r="C47" s="7" t="s">
        <v>76</v>
      </c>
      <c r="D47" s="9">
        <v>43</v>
      </c>
      <c r="E47" s="25">
        <v>39234</v>
      </c>
      <c r="F47" s="10">
        <v>41487</v>
      </c>
      <c r="G47" s="11">
        <f t="shared" si="2"/>
        <v>74</v>
      </c>
      <c r="H47" s="19">
        <v>5.0999999999999996</v>
      </c>
      <c r="I47" s="19">
        <f t="shared" si="3"/>
        <v>172.42000000000002</v>
      </c>
      <c r="J47" s="20">
        <v>155</v>
      </c>
      <c r="K47" s="20">
        <v>163.30000000000001</v>
      </c>
      <c r="L47" s="28">
        <f t="shared" si="4"/>
        <v>17.420000000000016</v>
      </c>
      <c r="M47" s="20">
        <v>157</v>
      </c>
      <c r="N47" s="49">
        <v>39448</v>
      </c>
      <c r="O47" s="41">
        <f>DATEDIF(N47,F47,"m")</f>
        <v>67</v>
      </c>
      <c r="P47" s="41">
        <f t="shared" si="10"/>
        <v>156.11000000000001</v>
      </c>
      <c r="Q47" s="53">
        <f t="shared" si="0"/>
        <v>156.11000000000001</v>
      </c>
      <c r="R47" s="20">
        <f t="shared" si="6"/>
        <v>-0.88999999999998636</v>
      </c>
      <c r="S47" s="42"/>
      <c r="T47" s="20">
        <v>12000</v>
      </c>
      <c r="U47" s="30">
        <f t="shared" si="1"/>
        <v>6872.5479452054851</v>
      </c>
      <c r="V47" s="32">
        <f t="shared" si="8"/>
        <v>-351.1232876712275</v>
      </c>
    </row>
    <row r="48" spans="1:22" ht="22.5" customHeight="1" x14ac:dyDescent="0.15">
      <c r="A48" s="13" t="s">
        <v>77</v>
      </c>
      <c r="B48" s="17" t="s">
        <v>78</v>
      </c>
      <c r="C48" s="7" t="s">
        <v>79</v>
      </c>
      <c r="D48" s="9">
        <v>3</v>
      </c>
      <c r="E48" s="25">
        <v>37622</v>
      </c>
      <c r="F48" s="10">
        <v>41487</v>
      </c>
      <c r="G48" s="11">
        <f t="shared" si="2"/>
        <v>127</v>
      </c>
      <c r="H48" s="20">
        <v>10.029999999999999</v>
      </c>
      <c r="I48" s="19">
        <f t="shared" si="3"/>
        <v>295.91000000000003</v>
      </c>
      <c r="J48" s="20">
        <v>273</v>
      </c>
      <c r="K48" s="20">
        <v>286.99</v>
      </c>
      <c r="L48" s="28">
        <f t="shared" si="4"/>
        <v>22.910000000000025</v>
      </c>
      <c r="M48" s="20">
        <v>137</v>
      </c>
      <c r="N48" s="49">
        <v>39448</v>
      </c>
      <c r="O48" s="41">
        <f>DATEDIF(N48,F48,"m")</f>
        <v>67</v>
      </c>
      <c r="P48" s="41">
        <f t="shared" si="10"/>
        <v>156.11000000000001</v>
      </c>
      <c r="Q48" s="53">
        <f t="shared" si="0"/>
        <v>156.11000000000001</v>
      </c>
      <c r="R48" s="20">
        <f t="shared" si="6"/>
        <v>19.110000000000014</v>
      </c>
      <c r="S48" s="42"/>
      <c r="T48" s="20">
        <v>20000</v>
      </c>
      <c r="U48" s="30">
        <f t="shared" si="1"/>
        <v>15064.109589041111</v>
      </c>
      <c r="V48" s="32">
        <f t="shared" si="8"/>
        <v>12565.479452054802</v>
      </c>
    </row>
    <row r="49" spans="1:22" ht="22.5" customHeight="1" x14ac:dyDescent="0.15">
      <c r="A49" s="13" t="s">
        <v>77</v>
      </c>
      <c r="B49" s="22" t="s">
        <v>80</v>
      </c>
      <c r="C49" s="12" t="s">
        <v>81</v>
      </c>
      <c r="D49" s="9">
        <v>36</v>
      </c>
      <c r="E49" s="25">
        <v>38930</v>
      </c>
      <c r="F49" s="10">
        <v>41487</v>
      </c>
      <c r="G49" s="11">
        <f t="shared" si="2"/>
        <v>84</v>
      </c>
      <c r="H49" s="20">
        <v>6.08</v>
      </c>
      <c r="I49" s="19">
        <f t="shared" si="3"/>
        <v>195.72</v>
      </c>
      <c r="J49" s="20">
        <v>151</v>
      </c>
      <c r="K49" s="20">
        <v>186.64</v>
      </c>
      <c r="L49" s="28">
        <f t="shared" si="4"/>
        <v>44.72</v>
      </c>
      <c r="M49" s="20">
        <v>144</v>
      </c>
      <c r="N49" s="49">
        <v>39448</v>
      </c>
      <c r="O49" s="41">
        <f>DATEDIF(N49,F49,"m")</f>
        <v>67</v>
      </c>
      <c r="P49" s="41">
        <f t="shared" si="10"/>
        <v>156.11000000000001</v>
      </c>
      <c r="Q49" s="53">
        <f t="shared" si="0"/>
        <v>156.11000000000001</v>
      </c>
      <c r="R49" s="20">
        <f t="shared" si="6"/>
        <v>12.110000000000014</v>
      </c>
      <c r="S49" s="42"/>
      <c r="T49" s="20">
        <v>13000</v>
      </c>
      <c r="U49" s="30">
        <f t="shared" si="1"/>
        <v>19113.205479452055</v>
      </c>
      <c r="V49" s="32">
        <f t="shared" si="8"/>
        <v>5175.7808219178141</v>
      </c>
    </row>
    <row r="50" spans="1:22" ht="22.5" customHeight="1" x14ac:dyDescent="0.15">
      <c r="A50" s="13" t="s">
        <v>77</v>
      </c>
      <c r="B50" s="7" t="s">
        <v>80</v>
      </c>
      <c r="C50" s="7" t="s">
        <v>82</v>
      </c>
      <c r="D50" s="9">
        <v>63</v>
      </c>
      <c r="E50" s="25">
        <v>39572</v>
      </c>
      <c r="F50" s="10">
        <v>41487</v>
      </c>
      <c r="G50" s="11">
        <f t="shared" si="2"/>
        <v>62</v>
      </c>
      <c r="H50" s="19">
        <v>4.0999999999999996</v>
      </c>
      <c r="I50" s="19">
        <f t="shared" si="3"/>
        <v>144.46</v>
      </c>
      <c r="J50" s="20">
        <v>35</v>
      </c>
      <c r="K50" s="20">
        <v>135.30000000000001</v>
      </c>
      <c r="L50" s="28">
        <f t="shared" si="4"/>
        <v>109.46000000000001</v>
      </c>
      <c r="M50" s="20">
        <v>32</v>
      </c>
      <c r="N50" s="49">
        <v>39448</v>
      </c>
      <c r="O50" s="41">
        <f>DATEDIF(E50,F50,"m")</f>
        <v>62</v>
      </c>
      <c r="P50" s="41">
        <f t="shared" si="10"/>
        <v>144.46</v>
      </c>
      <c r="Q50" s="53">
        <f t="shared" si="0"/>
        <v>144.46</v>
      </c>
      <c r="R50" s="20">
        <f t="shared" si="6"/>
        <v>112.46000000000001</v>
      </c>
      <c r="S50" s="42"/>
      <c r="T50" s="20">
        <v>13000</v>
      </c>
      <c r="U50" s="30">
        <f t="shared" si="1"/>
        <v>46782.90410958905</v>
      </c>
      <c r="V50" s="32">
        <f t="shared" si="8"/>
        <v>48065.095890410965</v>
      </c>
    </row>
    <row r="51" spans="1:22" ht="22.5" customHeight="1" x14ac:dyDescent="0.15">
      <c r="A51" s="13" t="s">
        <v>77</v>
      </c>
      <c r="B51" s="7" t="s">
        <v>80</v>
      </c>
      <c r="C51" s="7" t="s">
        <v>83</v>
      </c>
      <c r="D51" s="9">
        <v>144</v>
      </c>
      <c r="E51" s="25">
        <v>41183</v>
      </c>
      <c r="F51" s="10">
        <v>41487</v>
      </c>
      <c r="G51" s="11">
        <f t="shared" si="2"/>
        <v>10</v>
      </c>
      <c r="H51" s="20">
        <v>0.06</v>
      </c>
      <c r="I51" s="19">
        <f t="shared" si="3"/>
        <v>23.3</v>
      </c>
      <c r="J51" s="20">
        <v>0</v>
      </c>
      <c r="K51" s="20">
        <v>13.98</v>
      </c>
      <c r="L51" s="28">
        <f t="shared" si="4"/>
        <v>23.3</v>
      </c>
      <c r="M51" s="20">
        <v>0</v>
      </c>
      <c r="N51" s="47">
        <f t="shared" ref="N51:N52" si="29">E51</f>
        <v>41183</v>
      </c>
      <c r="O51" s="41">
        <f t="shared" ref="O51:O53" si="30">DATEDIF(N51,F51,"m")</f>
        <v>10</v>
      </c>
      <c r="P51" s="41">
        <f t="shared" si="10"/>
        <v>23.3</v>
      </c>
      <c r="Q51" s="53">
        <f t="shared" si="0"/>
        <v>23.3</v>
      </c>
      <c r="R51" s="20">
        <f t="shared" si="6"/>
        <v>23.3</v>
      </c>
      <c r="S51" s="20">
        <f t="shared" si="20"/>
        <v>0</v>
      </c>
      <c r="T51" s="20">
        <v>13000</v>
      </c>
      <c r="U51" s="30">
        <f t="shared" si="1"/>
        <v>9958.3561643835619</v>
      </c>
      <c r="V51" s="32">
        <f t="shared" si="8"/>
        <v>9958.3561643835619</v>
      </c>
    </row>
    <row r="52" spans="1:22" ht="22.5" customHeight="1" x14ac:dyDescent="0.15">
      <c r="A52" s="13" t="s">
        <v>77</v>
      </c>
      <c r="B52" s="7" t="s">
        <v>80</v>
      </c>
      <c r="C52" s="7" t="s">
        <v>84</v>
      </c>
      <c r="D52" s="9">
        <v>145</v>
      </c>
      <c r="E52" s="25">
        <v>41183</v>
      </c>
      <c r="F52" s="10">
        <v>41487</v>
      </c>
      <c r="G52" s="11">
        <f t="shared" si="2"/>
        <v>10</v>
      </c>
      <c r="H52" s="20">
        <v>0.06</v>
      </c>
      <c r="I52" s="19">
        <f t="shared" si="3"/>
        <v>23.3</v>
      </c>
      <c r="J52" s="20">
        <v>0</v>
      </c>
      <c r="K52" s="20">
        <v>13.98</v>
      </c>
      <c r="L52" s="28">
        <f t="shared" si="4"/>
        <v>23.3</v>
      </c>
      <c r="M52" s="20">
        <v>0</v>
      </c>
      <c r="N52" s="47">
        <f t="shared" si="29"/>
        <v>41183</v>
      </c>
      <c r="O52" s="41">
        <f t="shared" si="30"/>
        <v>10</v>
      </c>
      <c r="P52" s="41">
        <f>O52*2.33</f>
        <v>23.3</v>
      </c>
      <c r="Q52" s="53">
        <f t="shared" si="0"/>
        <v>23.3</v>
      </c>
      <c r="R52" s="20">
        <f t="shared" si="6"/>
        <v>23.3</v>
      </c>
      <c r="S52" s="20">
        <f t="shared" si="20"/>
        <v>0</v>
      </c>
      <c r="T52" s="20">
        <v>13000</v>
      </c>
      <c r="U52" s="30">
        <f t="shared" si="1"/>
        <v>9958.3561643835619</v>
      </c>
      <c r="V52" s="32">
        <f t="shared" si="8"/>
        <v>9958.3561643835619</v>
      </c>
    </row>
    <row r="53" spans="1:22" ht="22.5" customHeight="1" x14ac:dyDescent="0.15">
      <c r="A53" s="13" t="s">
        <v>77</v>
      </c>
      <c r="B53" s="7" t="s">
        <v>80</v>
      </c>
      <c r="C53" s="7" t="s">
        <v>132</v>
      </c>
      <c r="D53" s="9"/>
      <c r="E53" s="25">
        <v>41429</v>
      </c>
      <c r="F53" s="10">
        <v>41487</v>
      </c>
      <c r="G53" s="11">
        <f t="shared" si="2"/>
        <v>1</v>
      </c>
      <c r="H53" s="20">
        <v>0.06</v>
      </c>
      <c r="I53" s="19">
        <f t="shared" si="3"/>
        <v>2.33</v>
      </c>
      <c r="J53" s="20">
        <v>0</v>
      </c>
      <c r="K53" s="20">
        <v>13.98</v>
      </c>
      <c r="L53" s="28">
        <f t="shared" si="4"/>
        <v>2.33</v>
      </c>
      <c r="M53" s="20"/>
      <c r="N53" s="49">
        <v>41429</v>
      </c>
      <c r="O53" s="41">
        <f t="shared" si="30"/>
        <v>1</v>
      </c>
      <c r="P53" s="41">
        <f>O53*2.33</f>
        <v>2.33</v>
      </c>
      <c r="Q53" s="53">
        <f t="shared" si="0"/>
        <v>2.33</v>
      </c>
      <c r="R53" s="20">
        <f t="shared" si="6"/>
        <v>2.33</v>
      </c>
      <c r="S53" s="20">
        <f t="shared" si="20"/>
        <v>0</v>
      </c>
      <c r="T53" s="20">
        <v>12000</v>
      </c>
      <c r="U53" s="30">
        <f t="shared" si="1"/>
        <v>919.23287671232879</v>
      </c>
      <c r="V53" s="32">
        <f t="shared" si="8"/>
        <v>919.23287671232879</v>
      </c>
    </row>
    <row r="54" spans="1:22" ht="22.5" customHeight="1" x14ac:dyDescent="0.15">
      <c r="A54" s="13" t="s">
        <v>77</v>
      </c>
      <c r="B54" s="7" t="s">
        <v>80</v>
      </c>
      <c r="C54" s="7" t="s">
        <v>129</v>
      </c>
      <c r="D54" s="9"/>
      <c r="E54" s="25">
        <v>41365</v>
      </c>
      <c r="F54" s="10">
        <v>41487</v>
      </c>
      <c r="G54" s="11">
        <f t="shared" si="2"/>
        <v>4</v>
      </c>
      <c r="H54" s="20">
        <v>0.02</v>
      </c>
      <c r="I54" s="19">
        <f t="shared" si="3"/>
        <v>9.32</v>
      </c>
      <c r="J54" s="20">
        <v>0</v>
      </c>
      <c r="K54" s="20">
        <v>135.30000000000001</v>
      </c>
      <c r="L54" s="28">
        <f t="shared" si="4"/>
        <v>9.32</v>
      </c>
      <c r="M54" s="20"/>
      <c r="N54" s="47">
        <f t="shared" ref="N54:N57" si="31">E54</f>
        <v>41365</v>
      </c>
      <c r="O54" s="41">
        <f t="shared" ref="O54" si="32">DATEDIF(E54,F54,"m")</f>
        <v>4</v>
      </c>
      <c r="P54" s="41">
        <f t="shared" si="10"/>
        <v>9.32</v>
      </c>
      <c r="Q54" s="53">
        <f t="shared" si="0"/>
        <v>9.32</v>
      </c>
      <c r="R54" s="20">
        <f t="shared" si="6"/>
        <v>9.32</v>
      </c>
      <c r="S54" s="20">
        <f t="shared" si="20"/>
        <v>0</v>
      </c>
      <c r="T54" s="20">
        <v>13000</v>
      </c>
      <c r="U54" s="30">
        <f t="shared" si="1"/>
        <v>3983.3424657534251</v>
      </c>
      <c r="V54" s="32">
        <f t="shared" si="8"/>
        <v>3983.3424657534251</v>
      </c>
    </row>
    <row r="55" spans="1:22" ht="22.5" customHeight="1" x14ac:dyDescent="0.15">
      <c r="A55" s="13" t="s">
        <v>37</v>
      </c>
      <c r="B55" s="7" t="s">
        <v>122</v>
      </c>
      <c r="C55" s="7" t="s">
        <v>131</v>
      </c>
      <c r="D55" s="9"/>
      <c r="E55" s="26">
        <v>41393</v>
      </c>
      <c r="F55" s="10">
        <v>41487</v>
      </c>
      <c r="G55" s="11">
        <f t="shared" si="2"/>
        <v>3</v>
      </c>
      <c r="H55" s="20">
        <v>0.02</v>
      </c>
      <c r="I55" s="19">
        <f t="shared" si="3"/>
        <v>6.99</v>
      </c>
      <c r="J55" s="20">
        <v>0</v>
      </c>
      <c r="K55" s="20">
        <v>4.66</v>
      </c>
      <c r="L55" s="28">
        <f t="shared" si="4"/>
        <v>6.99</v>
      </c>
      <c r="M55" s="20"/>
      <c r="N55" s="47">
        <f t="shared" si="31"/>
        <v>41393</v>
      </c>
      <c r="O55" s="41">
        <f t="shared" ref="O55:O59" si="33">DATEDIF(N55,F55,"m")</f>
        <v>3</v>
      </c>
      <c r="P55" s="41">
        <f t="shared" si="10"/>
        <v>6.99</v>
      </c>
      <c r="Q55" s="53">
        <f t="shared" si="0"/>
        <v>6.99</v>
      </c>
      <c r="R55" s="20">
        <f t="shared" si="6"/>
        <v>6.99</v>
      </c>
      <c r="S55" s="20">
        <f t="shared" si="20"/>
        <v>0</v>
      </c>
      <c r="T55" s="20">
        <v>13000</v>
      </c>
      <c r="U55" s="30">
        <f t="shared" si="1"/>
        <v>2987.5068493150688</v>
      </c>
      <c r="V55" s="32">
        <f t="shared" si="8"/>
        <v>2987.5068493150688</v>
      </c>
    </row>
    <row r="56" spans="1:22" ht="22.5" customHeight="1" x14ac:dyDescent="0.15">
      <c r="A56" s="17"/>
      <c r="B56" s="65"/>
      <c r="C56" s="15" t="s">
        <v>133</v>
      </c>
      <c r="D56" s="66"/>
      <c r="E56" s="26">
        <v>41456</v>
      </c>
      <c r="F56" s="10">
        <v>41487</v>
      </c>
      <c r="G56" s="67">
        <f t="shared" si="2"/>
        <v>1</v>
      </c>
      <c r="H56" s="20"/>
      <c r="I56" s="19">
        <f t="shared" si="3"/>
        <v>2.33</v>
      </c>
      <c r="J56" s="20"/>
      <c r="K56" s="20"/>
      <c r="L56" s="28">
        <f t="shared" si="4"/>
        <v>2.33</v>
      </c>
      <c r="M56" s="20"/>
      <c r="N56" s="47">
        <f t="shared" si="31"/>
        <v>41456</v>
      </c>
      <c r="O56" s="41">
        <f t="shared" si="33"/>
        <v>1</v>
      </c>
      <c r="P56" s="41">
        <f t="shared" si="10"/>
        <v>2.33</v>
      </c>
      <c r="Q56" s="53">
        <f t="shared" si="0"/>
        <v>2.33</v>
      </c>
      <c r="R56" s="20">
        <f t="shared" si="6"/>
        <v>2.33</v>
      </c>
      <c r="S56" s="20">
        <f t="shared" si="20"/>
        <v>0</v>
      </c>
      <c r="T56" s="20">
        <v>13000</v>
      </c>
      <c r="U56" s="30">
        <f t="shared" si="1"/>
        <v>995.83561643835628</v>
      </c>
      <c r="V56" s="32">
        <f t="shared" si="8"/>
        <v>995.83561643835628</v>
      </c>
    </row>
    <row r="57" spans="1:22" ht="22.5" customHeight="1" x14ac:dyDescent="0.15">
      <c r="A57" s="17"/>
      <c r="B57" s="65"/>
      <c r="C57" s="15" t="s">
        <v>134</v>
      </c>
      <c r="D57" s="66"/>
      <c r="E57" s="26">
        <v>41477</v>
      </c>
      <c r="F57" s="10">
        <v>41487</v>
      </c>
      <c r="G57" s="67">
        <f t="shared" si="2"/>
        <v>0</v>
      </c>
      <c r="H57" s="20"/>
      <c r="I57" s="19">
        <f t="shared" si="3"/>
        <v>0</v>
      </c>
      <c r="J57" s="20"/>
      <c r="K57" s="20"/>
      <c r="L57" s="28">
        <f t="shared" si="4"/>
        <v>0</v>
      </c>
      <c r="M57" s="20"/>
      <c r="N57" s="47">
        <f t="shared" si="31"/>
        <v>41477</v>
      </c>
      <c r="O57" s="41">
        <f t="shared" si="33"/>
        <v>0</v>
      </c>
      <c r="P57" s="41">
        <f t="shared" si="10"/>
        <v>0</v>
      </c>
      <c r="Q57" s="53">
        <f t="shared" si="0"/>
        <v>0</v>
      </c>
      <c r="R57" s="20">
        <f t="shared" si="6"/>
        <v>0</v>
      </c>
      <c r="S57" s="20">
        <f t="shared" si="20"/>
        <v>0</v>
      </c>
      <c r="T57" s="20">
        <v>13000</v>
      </c>
      <c r="U57" s="30">
        <f t="shared" si="1"/>
        <v>0</v>
      </c>
      <c r="V57" s="32">
        <f t="shared" si="8"/>
        <v>0</v>
      </c>
    </row>
    <row r="58" spans="1:22" ht="22.5" customHeight="1" x14ac:dyDescent="0.15">
      <c r="A58" s="17"/>
      <c r="B58" s="65"/>
      <c r="C58" s="15" t="s">
        <v>135</v>
      </c>
      <c r="D58" s="66"/>
      <c r="E58" s="26">
        <v>41477</v>
      </c>
      <c r="F58" s="10">
        <v>41487</v>
      </c>
      <c r="G58" s="67">
        <f t="shared" si="2"/>
        <v>0</v>
      </c>
      <c r="H58" s="20"/>
      <c r="I58" s="19">
        <f t="shared" si="3"/>
        <v>0</v>
      </c>
      <c r="J58" s="20"/>
      <c r="K58" s="20"/>
      <c r="L58" s="28">
        <f t="shared" si="4"/>
        <v>0</v>
      </c>
      <c r="M58" s="20"/>
      <c r="N58" s="47">
        <v>41477</v>
      </c>
      <c r="O58" s="41">
        <f t="shared" si="33"/>
        <v>0</v>
      </c>
      <c r="P58" s="41">
        <f t="shared" si="10"/>
        <v>0</v>
      </c>
      <c r="Q58" s="53">
        <f t="shared" si="0"/>
        <v>0</v>
      </c>
      <c r="R58" s="20">
        <f t="shared" si="6"/>
        <v>0</v>
      </c>
      <c r="S58" s="20">
        <f t="shared" si="20"/>
        <v>0</v>
      </c>
      <c r="T58" s="20">
        <v>13000</v>
      </c>
      <c r="U58" s="30">
        <f t="shared" si="1"/>
        <v>0</v>
      </c>
      <c r="V58" s="32">
        <f t="shared" si="8"/>
        <v>0</v>
      </c>
    </row>
    <row r="59" spans="1:22" ht="22.5" customHeight="1" x14ac:dyDescent="0.15">
      <c r="A59" s="17"/>
      <c r="C59" s="15" t="s">
        <v>136</v>
      </c>
      <c r="D59" s="66"/>
      <c r="E59" s="26">
        <v>41487</v>
      </c>
      <c r="F59" s="10">
        <v>41487</v>
      </c>
      <c r="G59" s="67">
        <f t="shared" si="2"/>
        <v>0</v>
      </c>
      <c r="H59" s="20"/>
      <c r="I59" s="19">
        <f t="shared" si="3"/>
        <v>0</v>
      </c>
      <c r="J59" s="20"/>
      <c r="K59" s="20"/>
      <c r="L59" s="28">
        <f t="shared" si="4"/>
        <v>0</v>
      </c>
      <c r="M59" s="20"/>
      <c r="N59" s="47">
        <v>41487</v>
      </c>
      <c r="O59" s="41">
        <f t="shared" si="33"/>
        <v>0</v>
      </c>
      <c r="P59" s="41">
        <f t="shared" si="10"/>
        <v>0</v>
      </c>
      <c r="Q59" s="53">
        <f t="shared" si="0"/>
        <v>0</v>
      </c>
      <c r="R59" s="20">
        <f t="shared" si="6"/>
        <v>0</v>
      </c>
      <c r="S59" s="20">
        <f t="shared" si="20"/>
        <v>0</v>
      </c>
      <c r="T59" s="20">
        <v>13000</v>
      </c>
      <c r="U59" s="30">
        <f t="shared" si="1"/>
        <v>0</v>
      </c>
      <c r="V59" s="32">
        <f t="shared" si="8"/>
        <v>0</v>
      </c>
    </row>
    <row r="60" spans="1:22" ht="22.5" customHeight="1" x14ac:dyDescent="0.15">
      <c r="C60" s="65"/>
      <c r="D60" s="63"/>
      <c r="E60" s="64"/>
      <c r="F60" s="68"/>
      <c r="G60" s="23"/>
      <c r="H60" s="23"/>
      <c r="I60" s="23"/>
      <c r="J60" s="23"/>
      <c r="K60" s="23"/>
      <c r="L60" s="27">
        <f>SUBTOTAL(9,L5:L55)</f>
        <v>1266.8400000000004</v>
      </c>
      <c r="M60" s="23"/>
      <c r="N60" s="48"/>
      <c r="O60" s="48"/>
      <c r="P60" s="48"/>
      <c r="Q60" s="54"/>
      <c r="R60" s="27">
        <f>SUBTOTAL(9,R5:R57)</f>
        <v>900.94000000000051</v>
      </c>
      <c r="S60" s="23"/>
      <c r="T60" s="59">
        <f>SUBTOTAL(9,T5:T55)</f>
        <v>708000</v>
      </c>
      <c r="U60" s="60">
        <f>SUBTOTAL(9,U5:U55)</f>
        <v>692685.04109589034</v>
      </c>
      <c r="V60" s="58">
        <f>SUBTOTAL(9,V5:V55)</f>
        <v>455368.43835616444</v>
      </c>
    </row>
    <row r="61" spans="1:22" ht="22.5" customHeight="1" x14ac:dyDescent="0.15">
      <c r="C61" s="65"/>
      <c r="D61" s="63"/>
      <c r="E61" s="64"/>
      <c r="F61" s="68"/>
    </row>
    <row r="62" spans="1:22" ht="22.5" customHeight="1" x14ac:dyDescent="0.15">
      <c r="C62" s="65"/>
      <c r="E62" s="62"/>
      <c r="F62" s="68"/>
    </row>
    <row r="63" spans="1:22" ht="22.5" customHeight="1" x14ac:dyDescent="0.15">
      <c r="E63" s="27"/>
      <c r="F63" s="23"/>
    </row>
  </sheetData>
  <autoFilter ref="A4:V59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3"/>
  <sheetViews>
    <sheetView topLeftCell="C1" workbookViewId="0">
      <pane xSplit="1" ySplit="4" topLeftCell="D30" activePane="bottomRight" state="frozen"/>
      <selection activeCell="C1" sqref="C1"/>
      <selection pane="topRight" activeCell="D1" sqref="D1"/>
      <selection pane="bottomLeft" activeCell="C5" sqref="C5"/>
      <selection pane="bottomRight" activeCell="C35" sqref="C35"/>
    </sheetView>
  </sheetViews>
  <sheetFormatPr defaultRowHeight="22.5" customHeight="1" outlineLevelCol="1" x14ac:dyDescent="0.15"/>
  <cols>
    <col min="1" max="1" width="16" style="18" hidden="1" customWidth="1" outlineLevel="1"/>
    <col min="2" max="2" width="19.85546875" style="18" hidden="1" customWidth="1" outlineLevel="1"/>
    <col min="3" max="3" width="23.85546875" style="18" customWidth="1" collapsed="1"/>
    <col min="4" max="4" width="11.140625" style="18" customWidth="1"/>
    <col min="5" max="5" width="10.42578125" style="24" customWidth="1"/>
    <col min="6" max="6" width="10.5703125" style="18" customWidth="1"/>
    <col min="7" max="7" width="7.5703125" style="18" customWidth="1"/>
    <col min="8" max="8" width="9.140625" style="18" hidden="1" customWidth="1"/>
    <col min="9" max="9" width="9.140625" style="18"/>
    <col min="10" max="10" width="13.7109375" style="18" customWidth="1"/>
    <col min="11" max="11" width="14.7109375" style="18" hidden="1" customWidth="1"/>
    <col min="12" max="12" width="10.42578125" style="24" customWidth="1"/>
    <col min="13" max="13" width="13.85546875" style="18" customWidth="1"/>
    <col min="14" max="14" width="11.42578125" style="45" hidden="1" customWidth="1" outlineLevel="1"/>
    <col min="15" max="15" width="11.28515625" style="45" hidden="1" customWidth="1" outlineLevel="1"/>
    <col min="16" max="16" width="9.85546875" style="45" hidden="1" customWidth="1" outlineLevel="1"/>
    <col min="17" max="17" width="10.28515625" style="51" customWidth="1" collapsed="1"/>
    <col min="18" max="19" width="9.140625" style="18"/>
    <col min="20" max="20" width="14.5703125" style="18" customWidth="1" outlineLevel="1"/>
    <col min="21" max="21" width="13" style="29" customWidth="1" outlineLevel="1"/>
    <col min="22" max="22" width="16.42578125" style="18" customWidth="1" outlineLevel="1"/>
    <col min="23" max="16384" width="9.140625" style="18"/>
  </cols>
  <sheetData>
    <row r="1" spans="1:22" s="55" customFormat="1" ht="22.5" customHeight="1" x14ac:dyDescent="0.25"/>
    <row r="2" spans="1:22" s="55" customFormat="1" ht="22.5" customHeight="1" x14ac:dyDescent="0.25">
      <c r="G2" s="56"/>
    </row>
    <row r="3" spans="1:22" s="55" customFormat="1" ht="22.5" customHeight="1" x14ac:dyDescent="0.25"/>
    <row r="4" spans="1:22" s="44" customFormat="1" ht="22.5" customHeight="1" x14ac:dyDescent="0.15">
      <c r="A4" s="57" t="s">
        <v>0</v>
      </c>
      <c r="B4" s="57" t="s">
        <v>1</v>
      </c>
      <c r="C4" s="57" t="s">
        <v>2</v>
      </c>
      <c r="D4" s="35" t="s">
        <v>3</v>
      </c>
      <c r="E4" s="39" t="s">
        <v>107</v>
      </c>
      <c r="F4" s="57" t="s">
        <v>115</v>
      </c>
      <c r="G4" s="57" t="s">
        <v>117</v>
      </c>
      <c r="H4" s="36" t="s">
        <v>4</v>
      </c>
      <c r="I4" s="33" t="s">
        <v>118</v>
      </c>
      <c r="J4" s="34" t="s">
        <v>119</v>
      </c>
      <c r="K4" s="36" t="s">
        <v>108</v>
      </c>
      <c r="L4" s="40" t="s">
        <v>109</v>
      </c>
      <c r="M4" s="34" t="s">
        <v>120</v>
      </c>
      <c r="N4" s="46" t="s">
        <v>125</v>
      </c>
      <c r="O4" s="46" t="s">
        <v>124</v>
      </c>
      <c r="P4" s="50" t="s">
        <v>114</v>
      </c>
      <c r="Q4" s="52" t="s">
        <v>126</v>
      </c>
      <c r="R4" s="34" t="s">
        <v>110</v>
      </c>
      <c r="S4" s="34" t="s">
        <v>113</v>
      </c>
      <c r="T4" s="38" t="s">
        <v>111</v>
      </c>
      <c r="U4" s="37" t="s">
        <v>112</v>
      </c>
      <c r="V4" s="43" t="s">
        <v>123</v>
      </c>
    </row>
    <row r="5" spans="1:22" ht="22.5" customHeight="1" x14ac:dyDescent="0.15">
      <c r="A5" s="7" t="s">
        <v>31</v>
      </c>
      <c r="B5" s="7" t="s">
        <v>13</v>
      </c>
      <c r="C5" s="7" t="s">
        <v>9</v>
      </c>
      <c r="D5" s="9">
        <v>23</v>
      </c>
      <c r="E5" s="25">
        <v>38443</v>
      </c>
      <c r="F5" s="10">
        <v>41518</v>
      </c>
      <c r="G5" s="11">
        <f>DATEDIF(E5,F5,"m")</f>
        <v>101</v>
      </c>
      <c r="H5" s="19">
        <v>8</v>
      </c>
      <c r="I5" s="19">
        <f>G5*2.33</f>
        <v>235.33</v>
      </c>
      <c r="J5" s="20">
        <v>203</v>
      </c>
      <c r="K5" s="20">
        <v>224</v>
      </c>
      <c r="L5" s="28">
        <f>I5-J5</f>
        <v>32.330000000000013</v>
      </c>
      <c r="M5" s="21">
        <v>154</v>
      </c>
      <c r="N5" s="49">
        <v>39448</v>
      </c>
      <c r="O5" s="41">
        <f>DATEDIF(N5,F5,"m")</f>
        <v>68</v>
      </c>
      <c r="P5" s="41">
        <f>O5*2.33</f>
        <v>158.44</v>
      </c>
      <c r="Q5" s="53">
        <f t="shared" ref="Q5:Q59" si="0">O5*2.33</f>
        <v>158.44</v>
      </c>
      <c r="R5" s="20">
        <f>Q5-M5</f>
        <v>4.4399999999999977</v>
      </c>
      <c r="S5" s="42"/>
      <c r="T5" s="20">
        <v>18000</v>
      </c>
      <c r="U5" s="30">
        <f t="shared" ref="U5:U59" si="1">((T5*12)/365)*L5</f>
        <v>19132.273972602747</v>
      </c>
      <c r="V5" s="32">
        <f>((T5*12)/365)*R5</f>
        <v>2627.506849315067</v>
      </c>
    </row>
    <row r="6" spans="1:22" ht="22.5" customHeight="1" x14ac:dyDescent="0.15">
      <c r="A6" s="7" t="s">
        <v>31</v>
      </c>
      <c r="B6" s="7" t="s">
        <v>46</v>
      </c>
      <c r="C6" s="7" t="s">
        <v>45</v>
      </c>
      <c r="D6" s="9">
        <v>106</v>
      </c>
      <c r="E6" s="25">
        <v>40513</v>
      </c>
      <c r="F6" s="10">
        <v>41518</v>
      </c>
      <c r="G6" s="11">
        <f t="shared" ref="G6:G59" si="2">DATEDIF(E6,F6,"m")</f>
        <v>33</v>
      </c>
      <c r="H6" s="19">
        <v>2.04</v>
      </c>
      <c r="I6" s="19">
        <f t="shared" ref="I6:I59" si="3">G6*2.33</f>
        <v>76.89</v>
      </c>
      <c r="J6" s="20">
        <v>84</v>
      </c>
      <c r="K6" s="20">
        <v>65.319999999999993</v>
      </c>
      <c r="L6" s="28">
        <f t="shared" ref="L6:L59" si="4">I6-J6</f>
        <v>-7.1099999999999994</v>
      </c>
      <c r="M6" s="20">
        <v>84</v>
      </c>
      <c r="N6" s="47">
        <f>E6</f>
        <v>40513</v>
      </c>
      <c r="O6" s="41">
        <f t="shared" ref="O6:O9" si="5">DATEDIF(N6,F6,"m")</f>
        <v>33</v>
      </c>
      <c r="P6" s="41">
        <f>O6*2.33</f>
        <v>76.89</v>
      </c>
      <c r="Q6" s="53">
        <f t="shared" si="0"/>
        <v>76.89</v>
      </c>
      <c r="R6" s="20">
        <f t="shared" ref="R6:R59" si="6">Q6-M6</f>
        <v>-7.1099999999999994</v>
      </c>
      <c r="S6" s="20">
        <f t="shared" ref="S6:S22" si="7">J6-M6</f>
        <v>0</v>
      </c>
      <c r="T6" s="20">
        <v>12000</v>
      </c>
      <c r="U6" s="30">
        <f t="shared" si="1"/>
        <v>-2805.0410958904108</v>
      </c>
      <c r="V6" s="32">
        <f t="shared" ref="V6:V59" si="8">((T6*12)/365)*R6</f>
        <v>-2805.0410958904108</v>
      </c>
    </row>
    <row r="7" spans="1:22" ht="22.5" customHeight="1" x14ac:dyDescent="0.15">
      <c r="A7" s="7" t="s">
        <v>31</v>
      </c>
      <c r="B7" s="7" t="s">
        <v>11</v>
      </c>
      <c r="C7" s="7" t="s">
        <v>16</v>
      </c>
      <c r="D7" s="9">
        <v>126</v>
      </c>
      <c r="E7" s="25">
        <v>40848</v>
      </c>
      <c r="F7" s="10">
        <v>41518</v>
      </c>
      <c r="G7" s="11">
        <f t="shared" si="2"/>
        <v>22</v>
      </c>
      <c r="H7" s="19">
        <v>1.05</v>
      </c>
      <c r="I7" s="19">
        <f t="shared" si="3"/>
        <v>51.260000000000005</v>
      </c>
      <c r="J7" s="20">
        <f>14+28</f>
        <v>42</v>
      </c>
      <c r="K7" s="20">
        <v>39.65</v>
      </c>
      <c r="L7" s="28">
        <f t="shared" si="4"/>
        <v>9.2600000000000051</v>
      </c>
      <c r="M7" s="42"/>
      <c r="N7" s="42"/>
      <c r="O7" s="42"/>
      <c r="P7" s="42"/>
      <c r="Q7" s="42"/>
      <c r="R7" s="42"/>
      <c r="S7" s="42"/>
      <c r="T7" s="20">
        <v>13000</v>
      </c>
      <c r="U7" s="30">
        <f t="shared" si="1"/>
        <v>3957.6986301369889</v>
      </c>
      <c r="V7" s="32">
        <f t="shared" si="8"/>
        <v>0</v>
      </c>
    </row>
    <row r="8" spans="1:22" ht="22.5" customHeight="1" x14ac:dyDescent="0.15">
      <c r="A8" s="7" t="s">
        <v>31</v>
      </c>
      <c r="B8" s="7" t="s">
        <v>11</v>
      </c>
      <c r="C8" s="7" t="s">
        <v>12</v>
      </c>
      <c r="D8" s="9">
        <v>123</v>
      </c>
      <c r="E8" s="25">
        <v>40826</v>
      </c>
      <c r="F8" s="10">
        <v>41518</v>
      </c>
      <c r="G8" s="11">
        <f t="shared" si="2"/>
        <v>22</v>
      </c>
      <c r="H8" s="19">
        <v>1.05</v>
      </c>
      <c r="I8" s="19">
        <f t="shared" si="3"/>
        <v>51.260000000000005</v>
      </c>
      <c r="J8" s="20">
        <v>45</v>
      </c>
      <c r="K8" s="20">
        <v>39.65</v>
      </c>
      <c r="L8" s="28">
        <f t="shared" si="4"/>
        <v>6.2600000000000051</v>
      </c>
      <c r="M8" s="21">
        <v>45</v>
      </c>
      <c r="N8" s="47">
        <f t="shared" ref="N8:N12" si="9">E8</f>
        <v>40826</v>
      </c>
      <c r="O8" s="41">
        <f t="shared" si="5"/>
        <v>22</v>
      </c>
      <c r="P8" s="41">
        <f t="shared" ref="P8:P59" si="10">O8*2.33</f>
        <v>51.260000000000005</v>
      </c>
      <c r="Q8" s="53">
        <f t="shared" si="0"/>
        <v>51.260000000000005</v>
      </c>
      <c r="R8" s="20">
        <f t="shared" si="6"/>
        <v>6.2600000000000051</v>
      </c>
      <c r="S8" s="20">
        <f t="shared" si="7"/>
        <v>0</v>
      </c>
      <c r="T8" s="20">
        <v>13000</v>
      </c>
      <c r="U8" s="30">
        <f t="shared" si="1"/>
        <v>2675.5068493150707</v>
      </c>
      <c r="V8" s="32">
        <f t="shared" si="8"/>
        <v>2675.5068493150707</v>
      </c>
    </row>
    <row r="9" spans="1:22" ht="22.5" customHeight="1" x14ac:dyDescent="0.15">
      <c r="A9" s="7" t="s">
        <v>31</v>
      </c>
      <c r="B9" s="7" t="s">
        <v>11</v>
      </c>
      <c r="C9" s="7" t="s">
        <v>26</v>
      </c>
      <c r="D9" s="9">
        <v>134</v>
      </c>
      <c r="E9" s="25">
        <v>41031</v>
      </c>
      <c r="F9" s="10">
        <v>41518</v>
      </c>
      <c r="G9" s="11">
        <f t="shared" si="2"/>
        <v>15</v>
      </c>
      <c r="H9" s="19">
        <v>0.11</v>
      </c>
      <c r="I9" s="19">
        <f t="shared" si="3"/>
        <v>34.950000000000003</v>
      </c>
      <c r="J9" s="20">
        <v>28</v>
      </c>
      <c r="K9" s="20">
        <v>25.63</v>
      </c>
      <c r="L9" s="28">
        <f t="shared" si="4"/>
        <v>6.9500000000000028</v>
      </c>
      <c r="M9" s="21">
        <v>30</v>
      </c>
      <c r="N9" s="47">
        <f t="shared" si="9"/>
        <v>41031</v>
      </c>
      <c r="O9" s="41">
        <f t="shared" si="5"/>
        <v>15</v>
      </c>
      <c r="P9" s="41">
        <f t="shared" si="10"/>
        <v>34.950000000000003</v>
      </c>
      <c r="Q9" s="53">
        <f t="shared" si="0"/>
        <v>34.950000000000003</v>
      </c>
      <c r="R9" s="20">
        <f t="shared" si="6"/>
        <v>4.9500000000000028</v>
      </c>
      <c r="S9" s="20">
        <f t="shared" si="7"/>
        <v>-2</v>
      </c>
      <c r="T9" s="20">
        <v>13000</v>
      </c>
      <c r="U9" s="30">
        <f t="shared" si="1"/>
        <v>2970.4109589041109</v>
      </c>
      <c r="V9" s="32">
        <f t="shared" si="8"/>
        <v>2115.6164383561659</v>
      </c>
    </row>
    <row r="10" spans="1:22" ht="22.5" customHeight="1" x14ac:dyDescent="0.15">
      <c r="A10" s="7" t="s">
        <v>31</v>
      </c>
      <c r="B10" s="7" t="s">
        <v>11</v>
      </c>
      <c r="C10" s="7" t="s">
        <v>47</v>
      </c>
      <c r="D10" s="9">
        <v>130</v>
      </c>
      <c r="E10" s="25">
        <v>40969</v>
      </c>
      <c r="F10" s="10">
        <v>41518</v>
      </c>
      <c r="G10" s="11">
        <f t="shared" si="2"/>
        <v>18</v>
      </c>
      <c r="H10" s="19">
        <v>1</v>
      </c>
      <c r="I10" s="19">
        <f t="shared" si="3"/>
        <v>41.94</v>
      </c>
      <c r="J10" s="20">
        <v>28</v>
      </c>
      <c r="K10" s="20">
        <v>28</v>
      </c>
      <c r="L10" s="28">
        <f t="shared" si="4"/>
        <v>13.939999999999998</v>
      </c>
      <c r="M10" s="42"/>
      <c r="N10" s="42"/>
      <c r="O10" s="42"/>
      <c r="P10" s="42"/>
      <c r="Q10" s="42"/>
      <c r="R10" s="42"/>
      <c r="S10" s="42"/>
      <c r="T10" s="20">
        <v>13000</v>
      </c>
      <c r="U10" s="30">
        <f t="shared" si="1"/>
        <v>5957.9178082191775</v>
      </c>
      <c r="V10" s="32">
        <f t="shared" si="8"/>
        <v>0</v>
      </c>
    </row>
    <row r="11" spans="1:22" ht="22.5" customHeight="1" x14ac:dyDescent="0.15">
      <c r="A11" s="7" t="s">
        <v>8</v>
      </c>
      <c r="B11" s="7" t="s">
        <v>14</v>
      </c>
      <c r="C11" s="7" t="s">
        <v>15</v>
      </c>
      <c r="D11" s="9">
        <v>8</v>
      </c>
      <c r="E11" s="25">
        <v>37259</v>
      </c>
      <c r="F11" s="10">
        <v>41518</v>
      </c>
      <c r="G11" s="11">
        <f t="shared" si="2"/>
        <v>139</v>
      </c>
      <c r="H11" s="19">
        <v>11.02</v>
      </c>
      <c r="I11" s="19">
        <f t="shared" si="3"/>
        <v>323.87</v>
      </c>
      <c r="J11" s="20">
        <f>197+15+2</f>
        <v>214</v>
      </c>
      <c r="K11" s="20">
        <v>312.66000000000003</v>
      </c>
      <c r="L11" s="28">
        <f t="shared" si="4"/>
        <v>109.87</v>
      </c>
      <c r="M11" s="21">
        <v>105</v>
      </c>
      <c r="N11" s="49">
        <v>39448</v>
      </c>
      <c r="O11" s="41">
        <f>DATEDIF(N11,F11,"m")</f>
        <v>68</v>
      </c>
      <c r="P11" s="41">
        <f t="shared" si="10"/>
        <v>158.44</v>
      </c>
      <c r="Q11" s="53">
        <f t="shared" si="0"/>
        <v>158.44</v>
      </c>
      <c r="R11" s="20">
        <f t="shared" si="6"/>
        <v>53.44</v>
      </c>
      <c r="S11" s="42"/>
      <c r="T11" s="20">
        <v>28000</v>
      </c>
      <c r="U11" s="30">
        <f t="shared" si="1"/>
        <v>101140.60273972603</v>
      </c>
      <c r="V11" s="32">
        <f t="shared" si="8"/>
        <v>49194.082191780821</v>
      </c>
    </row>
    <row r="12" spans="1:22" ht="22.5" customHeight="1" x14ac:dyDescent="0.15">
      <c r="A12" s="7" t="s">
        <v>8</v>
      </c>
      <c r="B12" s="7" t="s">
        <v>10</v>
      </c>
      <c r="C12" s="8" t="s">
        <v>128</v>
      </c>
      <c r="D12" s="9">
        <v>140</v>
      </c>
      <c r="E12" s="25">
        <v>41143</v>
      </c>
      <c r="F12" s="10">
        <v>41518</v>
      </c>
      <c r="G12" s="11">
        <f t="shared" si="2"/>
        <v>12</v>
      </c>
      <c r="H12" s="19">
        <v>7.0000000000000007E-2</v>
      </c>
      <c r="I12" s="19">
        <f t="shared" si="3"/>
        <v>27.96</v>
      </c>
      <c r="J12" s="20">
        <v>21</v>
      </c>
      <c r="K12" s="20">
        <v>16.309999999999999</v>
      </c>
      <c r="L12" s="28">
        <f t="shared" si="4"/>
        <v>6.9600000000000009</v>
      </c>
      <c r="M12" s="21">
        <v>21</v>
      </c>
      <c r="N12" s="47">
        <f t="shared" si="9"/>
        <v>41143</v>
      </c>
      <c r="O12" s="41">
        <f t="shared" ref="O12" si="11">DATEDIF(N12,F12,"m")</f>
        <v>12</v>
      </c>
      <c r="P12" s="41">
        <f t="shared" si="10"/>
        <v>27.96</v>
      </c>
      <c r="Q12" s="53">
        <f t="shared" si="0"/>
        <v>27.96</v>
      </c>
      <c r="R12" s="20">
        <f t="shared" si="6"/>
        <v>6.9600000000000009</v>
      </c>
      <c r="S12" s="20">
        <f t="shared" si="7"/>
        <v>0</v>
      </c>
      <c r="T12" s="20">
        <v>12000</v>
      </c>
      <c r="U12" s="30">
        <f t="shared" si="1"/>
        <v>2745.8630136986303</v>
      </c>
      <c r="V12" s="32">
        <f t="shared" si="8"/>
        <v>2745.8630136986303</v>
      </c>
    </row>
    <row r="13" spans="1:22" ht="22.5" customHeight="1" x14ac:dyDescent="0.15">
      <c r="A13" s="7" t="s">
        <v>32</v>
      </c>
      <c r="B13" s="7" t="s">
        <v>33</v>
      </c>
      <c r="C13" s="7" t="s">
        <v>17</v>
      </c>
      <c r="D13" s="9">
        <v>13</v>
      </c>
      <c r="E13" s="25">
        <v>37773</v>
      </c>
      <c r="F13" s="10">
        <v>41518</v>
      </c>
      <c r="G13" s="11">
        <f t="shared" si="2"/>
        <v>123</v>
      </c>
      <c r="H13" s="19">
        <v>9.1</v>
      </c>
      <c r="I13" s="19">
        <f t="shared" si="3"/>
        <v>286.59000000000003</v>
      </c>
      <c r="J13" s="20">
        <v>136</v>
      </c>
      <c r="K13" s="20">
        <v>275.3</v>
      </c>
      <c r="L13" s="28">
        <f t="shared" si="4"/>
        <v>150.59000000000003</v>
      </c>
      <c r="M13" s="21">
        <v>82</v>
      </c>
      <c r="N13" s="49">
        <v>39448</v>
      </c>
      <c r="O13" s="41">
        <f>DATEDIF(N13,F13,"m")</f>
        <v>68</v>
      </c>
      <c r="P13" s="41">
        <f t="shared" si="10"/>
        <v>158.44</v>
      </c>
      <c r="Q13" s="53">
        <f t="shared" si="0"/>
        <v>158.44</v>
      </c>
      <c r="R13" s="20">
        <f t="shared" si="6"/>
        <v>76.44</v>
      </c>
      <c r="S13" s="42"/>
      <c r="T13" s="20">
        <v>18000</v>
      </c>
      <c r="U13" s="30">
        <f t="shared" si="1"/>
        <v>89116.273972602765</v>
      </c>
      <c r="V13" s="32">
        <f t="shared" si="8"/>
        <v>45235.726027397257</v>
      </c>
    </row>
    <row r="14" spans="1:22" ht="22.5" customHeight="1" x14ac:dyDescent="0.15">
      <c r="A14" s="7" t="s">
        <v>32</v>
      </c>
      <c r="B14" s="7" t="s">
        <v>18</v>
      </c>
      <c r="C14" s="7" t="s">
        <v>53</v>
      </c>
      <c r="D14" s="9">
        <v>57</v>
      </c>
      <c r="E14" s="25">
        <v>39456</v>
      </c>
      <c r="F14" s="10">
        <v>41518</v>
      </c>
      <c r="G14" s="11">
        <f t="shared" si="2"/>
        <v>67</v>
      </c>
      <c r="H14" s="20">
        <v>5.0199999999999996</v>
      </c>
      <c r="I14" s="19">
        <f t="shared" si="3"/>
        <v>156.11000000000001</v>
      </c>
      <c r="J14" s="20">
        <v>114</v>
      </c>
      <c r="K14" s="20">
        <v>144.66</v>
      </c>
      <c r="L14" s="28">
        <f t="shared" si="4"/>
        <v>42.110000000000014</v>
      </c>
      <c r="M14" s="21">
        <v>57</v>
      </c>
      <c r="N14" s="49">
        <v>39448</v>
      </c>
      <c r="O14" s="41">
        <f>DATEDIF(E14,F14,"m")</f>
        <v>67</v>
      </c>
      <c r="P14" s="41">
        <f t="shared" si="10"/>
        <v>156.11000000000001</v>
      </c>
      <c r="Q14" s="53">
        <f t="shared" si="0"/>
        <v>156.11000000000001</v>
      </c>
      <c r="R14" s="20">
        <f t="shared" si="6"/>
        <v>99.110000000000014</v>
      </c>
      <c r="S14" s="42"/>
      <c r="T14" s="20">
        <v>12000</v>
      </c>
      <c r="U14" s="30">
        <f t="shared" si="1"/>
        <v>16613.260273972606</v>
      </c>
      <c r="V14" s="32">
        <f t="shared" si="8"/>
        <v>39100.931506849316</v>
      </c>
    </row>
    <row r="15" spans="1:22" ht="22.5" customHeight="1" x14ac:dyDescent="0.15">
      <c r="A15" s="7" t="s">
        <v>32</v>
      </c>
      <c r="B15" s="7" t="s">
        <v>18</v>
      </c>
      <c r="C15" s="7" t="s">
        <v>54</v>
      </c>
      <c r="D15" s="9">
        <v>111</v>
      </c>
      <c r="E15" s="25">
        <v>40603</v>
      </c>
      <c r="F15" s="10">
        <v>41518</v>
      </c>
      <c r="G15" s="11">
        <f t="shared" si="2"/>
        <v>30</v>
      </c>
      <c r="H15" s="20">
        <v>2.0099999999999998</v>
      </c>
      <c r="I15" s="19">
        <f t="shared" si="3"/>
        <v>69.900000000000006</v>
      </c>
      <c r="J15" s="20">
        <v>70</v>
      </c>
      <c r="K15" s="20">
        <v>58.33</v>
      </c>
      <c r="L15" s="28">
        <f t="shared" si="4"/>
        <v>-9.9999999999994316E-2</v>
      </c>
      <c r="M15" s="21">
        <v>70</v>
      </c>
      <c r="N15" s="47">
        <f t="shared" ref="N15" si="12">E15</f>
        <v>40603</v>
      </c>
      <c r="O15" s="41">
        <f t="shared" ref="O15" si="13">DATEDIF(N15,F15,"m")</f>
        <v>30</v>
      </c>
      <c r="P15" s="41">
        <f t="shared" si="10"/>
        <v>69.900000000000006</v>
      </c>
      <c r="Q15" s="53">
        <f t="shared" si="0"/>
        <v>69.900000000000006</v>
      </c>
      <c r="R15" s="20">
        <f t="shared" si="6"/>
        <v>-9.9999999999994316E-2</v>
      </c>
      <c r="S15" s="20">
        <f t="shared" si="7"/>
        <v>0</v>
      </c>
      <c r="T15" s="20">
        <v>12000</v>
      </c>
      <c r="U15" s="30">
        <f t="shared" si="1"/>
        <v>-39.452054794518304</v>
      </c>
      <c r="V15" s="32">
        <f t="shared" si="8"/>
        <v>-39.452054794518304</v>
      </c>
    </row>
    <row r="16" spans="1:22" ht="36.75" customHeight="1" x14ac:dyDescent="0.15">
      <c r="A16" s="7" t="s">
        <v>32</v>
      </c>
      <c r="B16" s="7" t="s">
        <v>18</v>
      </c>
      <c r="C16" s="7" t="s">
        <v>55</v>
      </c>
      <c r="D16" s="9">
        <v>50</v>
      </c>
      <c r="E16" s="25">
        <v>39387</v>
      </c>
      <c r="F16" s="10">
        <v>41518</v>
      </c>
      <c r="G16" s="11">
        <f t="shared" si="2"/>
        <v>70</v>
      </c>
      <c r="H16" s="20">
        <v>5.05</v>
      </c>
      <c r="I16" s="19">
        <f t="shared" si="3"/>
        <v>163.1</v>
      </c>
      <c r="J16" s="20">
        <v>129</v>
      </c>
      <c r="K16" s="20">
        <v>151.65</v>
      </c>
      <c r="L16" s="28">
        <f t="shared" si="4"/>
        <v>34.099999999999994</v>
      </c>
      <c r="M16" s="21">
        <v>59</v>
      </c>
      <c r="N16" s="49">
        <v>39448</v>
      </c>
      <c r="O16" s="41">
        <f>DATEDIF(N16,F16,"m")</f>
        <v>68</v>
      </c>
      <c r="P16" s="41">
        <f t="shared" si="10"/>
        <v>158.44</v>
      </c>
      <c r="Q16" s="53">
        <f t="shared" si="0"/>
        <v>158.44</v>
      </c>
      <c r="R16" s="20">
        <f t="shared" si="6"/>
        <v>99.44</v>
      </c>
      <c r="S16" s="20">
        <f t="shared" si="7"/>
        <v>70</v>
      </c>
      <c r="T16" s="20">
        <v>12000</v>
      </c>
      <c r="U16" s="30">
        <f t="shared" si="1"/>
        <v>13453.150684931505</v>
      </c>
      <c r="V16" s="32">
        <f t="shared" si="8"/>
        <v>39231.123287671231</v>
      </c>
    </row>
    <row r="17" spans="1:22" ht="24.75" customHeight="1" x14ac:dyDescent="0.15">
      <c r="A17" s="7" t="s">
        <v>32</v>
      </c>
      <c r="B17" s="7" t="s">
        <v>18</v>
      </c>
      <c r="C17" s="7" t="s">
        <v>137</v>
      </c>
      <c r="D17" s="9">
        <v>156</v>
      </c>
      <c r="E17" s="25">
        <v>41344</v>
      </c>
      <c r="F17" s="10">
        <v>41518</v>
      </c>
      <c r="G17" s="11">
        <f t="shared" si="2"/>
        <v>5</v>
      </c>
      <c r="H17" s="20"/>
      <c r="I17" s="19">
        <f t="shared" si="3"/>
        <v>11.65</v>
      </c>
      <c r="J17" s="20">
        <v>1</v>
      </c>
      <c r="K17" s="20"/>
      <c r="L17" s="28">
        <f t="shared" si="4"/>
        <v>10.65</v>
      </c>
      <c r="M17" s="21">
        <v>2</v>
      </c>
      <c r="N17" s="25">
        <v>41344</v>
      </c>
      <c r="O17" s="41">
        <f>DATEDIF(N17,F17,"m")</f>
        <v>5</v>
      </c>
      <c r="P17" s="41">
        <f t="shared" si="10"/>
        <v>11.65</v>
      </c>
      <c r="Q17" s="53">
        <f t="shared" si="0"/>
        <v>11.65</v>
      </c>
      <c r="R17" s="20">
        <f t="shared" si="6"/>
        <v>9.65</v>
      </c>
      <c r="S17" s="20">
        <f t="shared" si="7"/>
        <v>-1</v>
      </c>
      <c r="T17" s="20">
        <v>12000</v>
      </c>
      <c r="U17" s="30">
        <f t="shared" si="1"/>
        <v>4201.6438356164381</v>
      </c>
      <c r="V17" s="32">
        <f t="shared" si="8"/>
        <v>3807.1232876712329</v>
      </c>
    </row>
    <row r="18" spans="1:22" ht="22.5" customHeight="1" x14ac:dyDescent="0.15">
      <c r="A18" s="7" t="s">
        <v>32</v>
      </c>
      <c r="B18" s="7" t="s">
        <v>18</v>
      </c>
      <c r="C18" s="12" t="s">
        <v>52</v>
      </c>
      <c r="D18" s="9">
        <v>141</v>
      </c>
      <c r="E18" s="25">
        <v>41155</v>
      </c>
      <c r="F18" s="10">
        <v>41518</v>
      </c>
      <c r="G18" s="11">
        <f t="shared" si="2"/>
        <v>11</v>
      </c>
      <c r="H18" s="20">
        <v>0.06</v>
      </c>
      <c r="I18" s="19">
        <f t="shared" si="3"/>
        <v>25.630000000000003</v>
      </c>
      <c r="J18" s="20">
        <v>35</v>
      </c>
      <c r="K18" s="20">
        <v>13.98</v>
      </c>
      <c r="L18" s="28">
        <f t="shared" si="4"/>
        <v>-9.3699999999999974</v>
      </c>
      <c r="M18" s="21">
        <v>35</v>
      </c>
      <c r="N18" s="47">
        <f t="shared" ref="N18" si="14">E18</f>
        <v>41155</v>
      </c>
      <c r="O18" s="41">
        <f t="shared" ref="O18" si="15">DATEDIF(N18,F18,"m")</f>
        <v>11</v>
      </c>
      <c r="P18" s="41">
        <f t="shared" si="10"/>
        <v>25.630000000000003</v>
      </c>
      <c r="Q18" s="53">
        <f t="shared" si="0"/>
        <v>25.630000000000003</v>
      </c>
      <c r="R18" s="20">
        <f t="shared" si="6"/>
        <v>-9.3699999999999974</v>
      </c>
      <c r="S18" s="20">
        <f t="shared" si="7"/>
        <v>0</v>
      </c>
      <c r="T18" s="20">
        <v>12000</v>
      </c>
      <c r="U18" s="30">
        <f t="shared" si="1"/>
        <v>-3696.6575342465744</v>
      </c>
      <c r="V18" s="32">
        <f t="shared" si="8"/>
        <v>-3696.6575342465744</v>
      </c>
    </row>
    <row r="19" spans="1:22" ht="22.5" customHeight="1" x14ac:dyDescent="0.15">
      <c r="A19" s="7" t="s">
        <v>34</v>
      </c>
      <c r="B19" s="7" t="s">
        <v>21</v>
      </c>
      <c r="C19" s="7" t="s">
        <v>20</v>
      </c>
      <c r="D19" s="9">
        <v>39</v>
      </c>
      <c r="E19" s="25">
        <v>39052</v>
      </c>
      <c r="F19" s="10">
        <v>41518</v>
      </c>
      <c r="G19" s="11">
        <f t="shared" si="2"/>
        <v>81</v>
      </c>
      <c r="H19" s="20">
        <v>6.04</v>
      </c>
      <c r="I19" s="19">
        <f t="shared" si="3"/>
        <v>188.73000000000002</v>
      </c>
      <c r="J19" s="20">
        <f>165+14</f>
        <v>179</v>
      </c>
      <c r="K19" s="20">
        <v>177.32</v>
      </c>
      <c r="L19" s="28">
        <f t="shared" si="4"/>
        <v>9.7300000000000182</v>
      </c>
      <c r="M19" s="21">
        <f>119+14</f>
        <v>133</v>
      </c>
      <c r="N19" s="49">
        <v>39448</v>
      </c>
      <c r="O19" s="41">
        <f>DATEDIF(N19,F19,"m")</f>
        <v>68</v>
      </c>
      <c r="P19" s="41">
        <f t="shared" si="10"/>
        <v>158.44</v>
      </c>
      <c r="Q19" s="53">
        <f t="shared" si="0"/>
        <v>158.44</v>
      </c>
      <c r="R19" s="20">
        <f t="shared" si="6"/>
        <v>25.439999999999998</v>
      </c>
      <c r="S19" s="42"/>
      <c r="T19" s="20">
        <v>13000</v>
      </c>
      <c r="U19" s="30">
        <f t="shared" si="1"/>
        <v>4158.5753424657614</v>
      </c>
      <c r="V19" s="32">
        <f t="shared" si="8"/>
        <v>10872.986301369863</v>
      </c>
    </row>
    <row r="20" spans="1:22" ht="22.5" customHeight="1" x14ac:dyDescent="0.15">
      <c r="A20" s="7" t="s">
        <v>30</v>
      </c>
      <c r="B20" s="7" t="s">
        <v>22</v>
      </c>
      <c r="C20" s="7" t="s">
        <v>23</v>
      </c>
      <c r="D20" s="9">
        <v>19</v>
      </c>
      <c r="E20" s="25">
        <v>38166</v>
      </c>
      <c r="F20" s="10">
        <v>41518</v>
      </c>
      <c r="G20" s="11">
        <f t="shared" si="2"/>
        <v>110</v>
      </c>
      <c r="H20" s="20">
        <v>8.09</v>
      </c>
      <c r="I20" s="19">
        <f t="shared" si="3"/>
        <v>256.3</v>
      </c>
      <c r="J20" s="20">
        <v>110</v>
      </c>
      <c r="K20" s="20">
        <v>244.97</v>
      </c>
      <c r="L20" s="28">
        <f t="shared" si="4"/>
        <v>146.30000000000001</v>
      </c>
      <c r="M20" s="21">
        <v>71</v>
      </c>
      <c r="N20" s="49">
        <v>39448</v>
      </c>
      <c r="O20" s="41">
        <f>DATEDIF(N20,F20,"m")</f>
        <v>68</v>
      </c>
      <c r="P20" s="41">
        <f t="shared" si="10"/>
        <v>158.44</v>
      </c>
      <c r="Q20" s="53">
        <f t="shared" si="0"/>
        <v>158.44</v>
      </c>
      <c r="R20" s="20">
        <f t="shared" si="6"/>
        <v>87.44</v>
      </c>
      <c r="S20" s="42"/>
      <c r="T20" s="20">
        <v>24000</v>
      </c>
      <c r="U20" s="30">
        <f t="shared" si="1"/>
        <v>115436.71232876713</v>
      </c>
      <c r="V20" s="32">
        <f t="shared" si="8"/>
        <v>68993.753424657523</v>
      </c>
    </row>
    <row r="21" spans="1:22" ht="22.5" customHeight="1" x14ac:dyDescent="0.15">
      <c r="A21" s="7" t="s">
        <v>30</v>
      </c>
      <c r="B21" s="7" t="s">
        <v>24</v>
      </c>
      <c r="C21" s="7" t="s">
        <v>25</v>
      </c>
      <c r="D21" s="9">
        <v>113</v>
      </c>
      <c r="E21" s="25">
        <v>40623</v>
      </c>
      <c r="F21" s="10">
        <v>41518</v>
      </c>
      <c r="G21" s="11">
        <f t="shared" si="2"/>
        <v>29</v>
      </c>
      <c r="H21" s="19">
        <v>2</v>
      </c>
      <c r="I21" s="19">
        <f t="shared" si="3"/>
        <v>67.570000000000007</v>
      </c>
      <c r="J21" s="20">
        <v>64</v>
      </c>
      <c r="K21" s="20">
        <v>56</v>
      </c>
      <c r="L21" s="28">
        <f t="shared" si="4"/>
        <v>3.5700000000000074</v>
      </c>
      <c r="M21" s="21">
        <v>60</v>
      </c>
      <c r="N21" s="47">
        <f t="shared" ref="N21:N22" si="16">E21</f>
        <v>40623</v>
      </c>
      <c r="O21" s="41">
        <f t="shared" ref="O21:O22" si="17">DATEDIF(N21,F21,"m")</f>
        <v>29</v>
      </c>
      <c r="P21" s="41">
        <f t="shared" si="10"/>
        <v>67.570000000000007</v>
      </c>
      <c r="Q21" s="53">
        <f t="shared" si="0"/>
        <v>67.570000000000007</v>
      </c>
      <c r="R21" s="20">
        <f t="shared" si="6"/>
        <v>7.5700000000000074</v>
      </c>
      <c r="S21" s="20">
        <f t="shared" si="7"/>
        <v>4</v>
      </c>
      <c r="T21" s="20">
        <v>13000</v>
      </c>
      <c r="U21" s="30">
        <f t="shared" si="1"/>
        <v>1525.8082191780854</v>
      </c>
      <c r="V21" s="32">
        <f t="shared" si="8"/>
        <v>3235.3972602739759</v>
      </c>
    </row>
    <row r="22" spans="1:22" ht="22.5" customHeight="1" x14ac:dyDescent="0.15">
      <c r="A22" s="7" t="s">
        <v>30</v>
      </c>
      <c r="B22" s="7" t="s">
        <v>24</v>
      </c>
      <c r="C22" s="7" t="s">
        <v>57</v>
      </c>
      <c r="D22" s="9">
        <v>154</v>
      </c>
      <c r="E22" s="25">
        <v>41309</v>
      </c>
      <c r="F22" s="10">
        <v>41518</v>
      </c>
      <c r="G22" s="11">
        <f t="shared" si="2"/>
        <v>6</v>
      </c>
      <c r="H22" s="20">
        <v>0.01</v>
      </c>
      <c r="I22" s="19">
        <f t="shared" si="3"/>
        <v>13.98</v>
      </c>
      <c r="J22" s="20">
        <f>1+7</f>
        <v>8</v>
      </c>
      <c r="K22" s="20">
        <v>0</v>
      </c>
      <c r="L22" s="28">
        <f t="shared" si="4"/>
        <v>5.98</v>
      </c>
      <c r="M22" s="21">
        <f>1+7</f>
        <v>8</v>
      </c>
      <c r="N22" s="47">
        <f t="shared" si="16"/>
        <v>41309</v>
      </c>
      <c r="O22" s="41">
        <f t="shared" si="17"/>
        <v>6</v>
      </c>
      <c r="P22" s="41">
        <f t="shared" si="10"/>
        <v>13.98</v>
      </c>
      <c r="Q22" s="53">
        <f t="shared" si="0"/>
        <v>13.98</v>
      </c>
      <c r="R22" s="20">
        <f t="shared" si="6"/>
        <v>5.98</v>
      </c>
      <c r="S22" s="20">
        <f t="shared" si="7"/>
        <v>0</v>
      </c>
      <c r="T22" s="20">
        <v>13000</v>
      </c>
      <c r="U22" s="30">
        <f t="shared" si="1"/>
        <v>2555.8356164383563</v>
      </c>
      <c r="V22" s="32">
        <f t="shared" si="8"/>
        <v>2555.8356164383563</v>
      </c>
    </row>
    <row r="23" spans="1:22" ht="22.5" customHeight="1" x14ac:dyDescent="0.15">
      <c r="A23" s="7" t="s">
        <v>30</v>
      </c>
      <c r="B23" s="7" t="s">
        <v>24</v>
      </c>
      <c r="C23" s="7" t="s">
        <v>29</v>
      </c>
      <c r="D23" s="9">
        <v>53</v>
      </c>
      <c r="E23" s="25">
        <v>39419</v>
      </c>
      <c r="F23" s="10">
        <v>41518</v>
      </c>
      <c r="G23" s="11">
        <f t="shared" si="2"/>
        <v>68</v>
      </c>
      <c r="H23" s="20">
        <v>5.03</v>
      </c>
      <c r="I23" s="19">
        <f t="shared" si="3"/>
        <v>158.44</v>
      </c>
      <c r="J23" s="20">
        <v>159</v>
      </c>
      <c r="K23" s="20">
        <v>146.99</v>
      </c>
      <c r="L23" s="28">
        <f t="shared" si="4"/>
        <v>-0.56000000000000227</v>
      </c>
      <c r="M23" s="21">
        <v>161</v>
      </c>
      <c r="N23" s="49">
        <v>39448</v>
      </c>
      <c r="O23" s="41">
        <f>DATEDIF(N23,F23,"m")</f>
        <v>68</v>
      </c>
      <c r="P23" s="41">
        <f>O23*2.33</f>
        <v>158.44</v>
      </c>
      <c r="Q23" s="53">
        <f t="shared" si="0"/>
        <v>158.44</v>
      </c>
      <c r="R23" s="20">
        <f t="shared" si="6"/>
        <v>-2.5600000000000023</v>
      </c>
      <c r="S23" s="42"/>
      <c r="T23" s="20">
        <v>13000</v>
      </c>
      <c r="U23" s="30">
        <f t="shared" si="1"/>
        <v>-239.34246575342564</v>
      </c>
      <c r="V23" s="32">
        <f t="shared" si="8"/>
        <v>-1094.1369863013708</v>
      </c>
    </row>
    <row r="24" spans="1:22" ht="22.5" customHeight="1" x14ac:dyDescent="0.15">
      <c r="A24" s="7" t="s">
        <v>35</v>
      </c>
      <c r="B24" s="7" t="s">
        <v>127</v>
      </c>
      <c r="C24" s="7" t="s">
        <v>28</v>
      </c>
      <c r="D24" s="9">
        <v>137</v>
      </c>
      <c r="E24" s="25">
        <v>41106</v>
      </c>
      <c r="F24" s="10">
        <v>41518</v>
      </c>
      <c r="G24" s="11">
        <f t="shared" si="2"/>
        <v>13</v>
      </c>
      <c r="H24" s="20">
        <v>0.08</v>
      </c>
      <c r="I24" s="19">
        <f t="shared" si="3"/>
        <v>30.29</v>
      </c>
      <c r="J24" s="20">
        <v>20</v>
      </c>
      <c r="K24" s="20">
        <v>18.64</v>
      </c>
      <c r="L24" s="28">
        <f t="shared" si="4"/>
        <v>10.29</v>
      </c>
      <c r="M24" s="20">
        <v>20</v>
      </c>
      <c r="N24" s="47">
        <f t="shared" ref="N24:N29" si="18">E24</f>
        <v>41106</v>
      </c>
      <c r="O24" s="41">
        <f t="shared" ref="O24:O29" si="19">DATEDIF(N24,F24,"m")</f>
        <v>13</v>
      </c>
      <c r="P24" s="41">
        <f t="shared" si="10"/>
        <v>30.29</v>
      </c>
      <c r="Q24" s="53">
        <f t="shared" si="0"/>
        <v>30.29</v>
      </c>
      <c r="R24" s="20">
        <f t="shared" si="6"/>
        <v>10.29</v>
      </c>
      <c r="S24" s="20">
        <f t="shared" ref="S24:S59" si="20">J24-M24</f>
        <v>0</v>
      </c>
      <c r="T24" s="20">
        <v>13000</v>
      </c>
      <c r="U24" s="30">
        <f t="shared" si="1"/>
        <v>4397.9178082191775</v>
      </c>
      <c r="V24" s="32">
        <f t="shared" si="8"/>
        <v>4397.9178082191775</v>
      </c>
    </row>
    <row r="25" spans="1:22" ht="22.5" customHeight="1" x14ac:dyDescent="0.15">
      <c r="A25" s="7" t="s">
        <v>35</v>
      </c>
      <c r="B25" s="7" t="s">
        <v>27</v>
      </c>
      <c r="C25" s="7" t="s">
        <v>36</v>
      </c>
      <c r="D25" s="9">
        <v>114</v>
      </c>
      <c r="E25" s="25">
        <v>40639</v>
      </c>
      <c r="F25" s="10">
        <v>41518</v>
      </c>
      <c r="G25" s="11">
        <f t="shared" si="2"/>
        <v>28</v>
      </c>
      <c r="H25" s="20">
        <v>1.1100000000000001</v>
      </c>
      <c r="I25" s="19">
        <f t="shared" si="3"/>
        <v>65.240000000000009</v>
      </c>
      <c r="J25" s="20">
        <f>45+14</f>
        <v>59</v>
      </c>
      <c r="K25" s="20">
        <v>53.63</v>
      </c>
      <c r="L25" s="28">
        <f t="shared" si="4"/>
        <v>6.2400000000000091</v>
      </c>
      <c r="M25" s="20">
        <f>43+14</f>
        <v>57</v>
      </c>
      <c r="N25" s="47">
        <f t="shared" si="18"/>
        <v>40639</v>
      </c>
      <c r="O25" s="41">
        <f t="shared" si="19"/>
        <v>28</v>
      </c>
      <c r="P25" s="41">
        <f>O25*2.33</f>
        <v>65.240000000000009</v>
      </c>
      <c r="Q25" s="53">
        <f t="shared" si="0"/>
        <v>65.240000000000009</v>
      </c>
      <c r="R25" s="20">
        <f t="shared" si="6"/>
        <v>8.2400000000000091</v>
      </c>
      <c r="S25" s="20">
        <f t="shared" si="20"/>
        <v>2</v>
      </c>
      <c r="T25" s="20">
        <v>14000</v>
      </c>
      <c r="U25" s="30">
        <f t="shared" si="1"/>
        <v>2872.1095890411002</v>
      </c>
      <c r="V25" s="32">
        <f t="shared" si="8"/>
        <v>3792.6575342465794</v>
      </c>
    </row>
    <row r="26" spans="1:22" ht="22.5" customHeight="1" x14ac:dyDescent="0.15">
      <c r="A26" s="13" t="s">
        <v>37</v>
      </c>
      <c r="B26" s="7" t="s">
        <v>38</v>
      </c>
      <c r="C26" s="7" t="s">
        <v>39</v>
      </c>
      <c r="D26" s="9">
        <v>13</v>
      </c>
      <c r="E26" s="25">
        <v>40269</v>
      </c>
      <c r="F26" s="10">
        <v>41518</v>
      </c>
      <c r="G26" s="11">
        <f t="shared" si="2"/>
        <v>41</v>
      </c>
      <c r="H26" s="19">
        <v>3</v>
      </c>
      <c r="I26" s="19">
        <f t="shared" si="3"/>
        <v>95.53</v>
      </c>
      <c r="J26" s="20">
        <v>45</v>
      </c>
      <c r="K26" s="20">
        <v>84</v>
      </c>
      <c r="L26" s="28">
        <f t="shared" si="4"/>
        <v>50.53</v>
      </c>
      <c r="M26" s="20">
        <v>105</v>
      </c>
      <c r="N26" s="47">
        <f t="shared" si="18"/>
        <v>40269</v>
      </c>
      <c r="O26" s="41">
        <f t="shared" si="19"/>
        <v>41</v>
      </c>
      <c r="P26" s="41">
        <f t="shared" si="10"/>
        <v>95.53</v>
      </c>
      <c r="Q26" s="53">
        <f t="shared" si="0"/>
        <v>95.53</v>
      </c>
      <c r="R26" s="20">
        <f t="shared" si="6"/>
        <v>-9.4699999999999989</v>
      </c>
      <c r="S26" s="20">
        <f t="shared" si="20"/>
        <v>-60</v>
      </c>
      <c r="T26" s="20">
        <v>12000</v>
      </c>
      <c r="U26" s="30">
        <f t="shared" si="1"/>
        <v>19935.123287671231</v>
      </c>
      <c r="V26" s="32">
        <f t="shared" si="8"/>
        <v>-3736.1095890410952</v>
      </c>
    </row>
    <row r="27" spans="1:22" ht="22.5" customHeight="1" x14ac:dyDescent="0.15">
      <c r="A27" s="13" t="s">
        <v>37</v>
      </c>
      <c r="B27" s="7" t="s">
        <v>121</v>
      </c>
      <c r="C27" s="7" t="s">
        <v>40</v>
      </c>
      <c r="D27" s="9">
        <v>93</v>
      </c>
      <c r="E27" s="25">
        <v>40269</v>
      </c>
      <c r="F27" s="10">
        <v>41518</v>
      </c>
      <c r="G27" s="11">
        <f t="shared" si="2"/>
        <v>41</v>
      </c>
      <c r="H27" s="19">
        <v>3</v>
      </c>
      <c r="I27" s="19">
        <f t="shared" si="3"/>
        <v>95.53</v>
      </c>
      <c r="J27" s="20">
        <v>90</v>
      </c>
      <c r="K27" s="20">
        <v>84</v>
      </c>
      <c r="L27" s="28">
        <f t="shared" si="4"/>
        <v>5.5300000000000011</v>
      </c>
      <c r="M27" s="20">
        <v>91</v>
      </c>
      <c r="N27" s="47">
        <f t="shared" si="18"/>
        <v>40269</v>
      </c>
      <c r="O27" s="41">
        <f t="shared" si="19"/>
        <v>41</v>
      </c>
      <c r="P27" s="41">
        <f t="shared" si="10"/>
        <v>95.53</v>
      </c>
      <c r="Q27" s="53">
        <f t="shared" si="0"/>
        <v>95.53</v>
      </c>
      <c r="R27" s="20">
        <f t="shared" si="6"/>
        <v>4.5300000000000011</v>
      </c>
      <c r="S27" s="20">
        <f t="shared" si="20"/>
        <v>-1</v>
      </c>
      <c r="T27" s="20">
        <v>13000</v>
      </c>
      <c r="U27" s="30">
        <f t="shared" si="1"/>
        <v>2363.5068493150688</v>
      </c>
      <c r="V27" s="32">
        <f t="shared" si="8"/>
        <v>1936.1095890410963</v>
      </c>
    </row>
    <row r="28" spans="1:22" ht="22.5" customHeight="1" x14ac:dyDescent="0.15">
      <c r="A28" s="13" t="s">
        <v>37</v>
      </c>
      <c r="B28" s="7" t="s">
        <v>121</v>
      </c>
      <c r="C28" s="7" t="s">
        <v>41</v>
      </c>
      <c r="D28" s="9">
        <v>116</v>
      </c>
      <c r="E28" s="25">
        <v>40695</v>
      </c>
      <c r="F28" s="10">
        <v>41518</v>
      </c>
      <c r="G28" s="11">
        <f t="shared" si="2"/>
        <v>27</v>
      </c>
      <c r="H28" s="19">
        <v>1.1000000000000001</v>
      </c>
      <c r="I28" s="19">
        <f t="shared" si="3"/>
        <v>62.910000000000004</v>
      </c>
      <c r="J28" s="20">
        <v>56</v>
      </c>
      <c r="K28" s="20">
        <v>51.3</v>
      </c>
      <c r="L28" s="28">
        <f t="shared" si="4"/>
        <v>6.9100000000000037</v>
      </c>
      <c r="M28" s="20">
        <v>57</v>
      </c>
      <c r="N28" s="47">
        <f t="shared" si="18"/>
        <v>40695</v>
      </c>
      <c r="O28" s="41">
        <f t="shared" si="19"/>
        <v>27</v>
      </c>
      <c r="P28" s="41">
        <f t="shared" si="10"/>
        <v>62.910000000000004</v>
      </c>
      <c r="Q28" s="53">
        <f t="shared" si="0"/>
        <v>62.910000000000004</v>
      </c>
      <c r="R28" s="20">
        <f t="shared" si="6"/>
        <v>5.9100000000000037</v>
      </c>
      <c r="S28" s="20">
        <f t="shared" si="20"/>
        <v>-1</v>
      </c>
      <c r="T28" s="20">
        <v>13000</v>
      </c>
      <c r="U28" s="30">
        <f t="shared" si="1"/>
        <v>2953.3150684931525</v>
      </c>
      <c r="V28" s="32">
        <f t="shared" si="8"/>
        <v>2525.9178082191797</v>
      </c>
    </row>
    <row r="29" spans="1:22" ht="22.5" customHeight="1" x14ac:dyDescent="0.15">
      <c r="A29" s="13" t="s">
        <v>37</v>
      </c>
      <c r="B29" s="7" t="s">
        <v>11</v>
      </c>
      <c r="C29" s="7" t="s">
        <v>42</v>
      </c>
      <c r="D29" s="9">
        <v>143</v>
      </c>
      <c r="E29" s="25">
        <v>41157</v>
      </c>
      <c r="F29" s="10">
        <v>41518</v>
      </c>
      <c r="G29" s="11">
        <f t="shared" si="2"/>
        <v>11</v>
      </c>
      <c r="H29" s="20">
        <v>0.06</v>
      </c>
      <c r="I29" s="19">
        <f t="shared" si="3"/>
        <v>25.630000000000003</v>
      </c>
      <c r="J29" s="20">
        <f>5+14</f>
        <v>19</v>
      </c>
      <c r="K29" s="20">
        <v>13.98</v>
      </c>
      <c r="L29" s="28">
        <f t="shared" si="4"/>
        <v>6.6300000000000026</v>
      </c>
      <c r="M29" s="20">
        <f>5+14</f>
        <v>19</v>
      </c>
      <c r="N29" s="47">
        <f t="shared" si="18"/>
        <v>41157</v>
      </c>
      <c r="O29" s="41">
        <f t="shared" si="19"/>
        <v>11</v>
      </c>
      <c r="P29" s="41">
        <f t="shared" si="10"/>
        <v>25.630000000000003</v>
      </c>
      <c r="Q29" s="53">
        <f t="shared" si="0"/>
        <v>25.630000000000003</v>
      </c>
      <c r="R29" s="20">
        <f t="shared" si="6"/>
        <v>6.6300000000000026</v>
      </c>
      <c r="S29" s="20">
        <f t="shared" si="20"/>
        <v>0</v>
      </c>
      <c r="T29" s="20">
        <v>13000</v>
      </c>
      <c r="U29" s="30">
        <f t="shared" si="1"/>
        <v>2833.6438356164394</v>
      </c>
      <c r="V29" s="32">
        <f t="shared" si="8"/>
        <v>2833.6438356164394</v>
      </c>
    </row>
    <row r="30" spans="1:22" ht="22.5" customHeight="1" x14ac:dyDescent="0.15">
      <c r="A30" s="13" t="s">
        <v>37</v>
      </c>
      <c r="B30" s="7" t="s">
        <v>13</v>
      </c>
      <c r="C30" s="7" t="s">
        <v>43</v>
      </c>
      <c r="D30" s="9">
        <v>25</v>
      </c>
      <c r="E30" s="25">
        <v>38534</v>
      </c>
      <c r="F30" s="10">
        <v>41518</v>
      </c>
      <c r="G30" s="11">
        <f t="shared" si="2"/>
        <v>98</v>
      </c>
      <c r="H30" s="20">
        <v>7.09</v>
      </c>
      <c r="I30" s="19">
        <f t="shared" si="3"/>
        <v>228.34</v>
      </c>
      <c r="J30" s="20">
        <v>180</v>
      </c>
      <c r="K30" s="20">
        <v>216.97</v>
      </c>
      <c r="L30" s="28">
        <f t="shared" si="4"/>
        <v>48.34</v>
      </c>
      <c r="M30" s="20">
        <v>154</v>
      </c>
      <c r="N30" s="49">
        <v>39448</v>
      </c>
      <c r="O30" s="41">
        <f>DATEDIF(N30,F30,"m")</f>
        <v>68</v>
      </c>
      <c r="P30" s="41">
        <f>O30*2.33</f>
        <v>158.44</v>
      </c>
      <c r="Q30" s="53">
        <f t="shared" si="0"/>
        <v>158.44</v>
      </c>
      <c r="R30" s="20">
        <f t="shared" si="6"/>
        <v>4.4399999999999977</v>
      </c>
      <c r="S30" s="42"/>
      <c r="T30" s="20">
        <v>18000</v>
      </c>
      <c r="U30" s="30">
        <f t="shared" si="1"/>
        <v>28606.68493150685</v>
      </c>
      <c r="V30" s="32">
        <f t="shared" si="8"/>
        <v>2627.506849315067</v>
      </c>
    </row>
    <row r="31" spans="1:22" ht="22.5" customHeight="1" x14ac:dyDescent="0.15">
      <c r="A31" s="13" t="s">
        <v>37</v>
      </c>
      <c r="B31" s="7" t="s">
        <v>121</v>
      </c>
      <c r="C31" s="7" t="s">
        <v>44</v>
      </c>
      <c r="D31" s="9">
        <v>117</v>
      </c>
      <c r="E31" s="25">
        <v>40695</v>
      </c>
      <c r="F31" s="10">
        <v>41518</v>
      </c>
      <c r="G31" s="11">
        <f t="shared" si="2"/>
        <v>27</v>
      </c>
      <c r="H31" s="19">
        <v>1.1000000000000001</v>
      </c>
      <c r="I31" s="19">
        <f t="shared" si="3"/>
        <v>62.910000000000004</v>
      </c>
      <c r="J31" s="20">
        <v>53</v>
      </c>
      <c r="K31" s="20">
        <v>51.3</v>
      </c>
      <c r="L31" s="28">
        <f t="shared" si="4"/>
        <v>9.9100000000000037</v>
      </c>
      <c r="M31" s="20">
        <v>53</v>
      </c>
      <c r="N31" s="47">
        <f t="shared" ref="N31:N37" si="21">E31</f>
        <v>40695</v>
      </c>
      <c r="O31" s="41">
        <f t="shared" ref="O31:O37" si="22">DATEDIF(N31,F31,"m")</f>
        <v>27</v>
      </c>
      <c r="P31" s="41">
        <f t="shared" si="10"/>
        <v>62.910000000000004</v>
      </c>
      <c r="Q31" s="53">
        <f t="shared" si="0"/>
        <v>62.910000000000004</v>
      </c>
      <c r="R31" s="20">
        <f t="shared" si="6"/>
        <v>9.9100000000000037</v>
      </c>
      <c r="S31" s="20">
        <f t="shared" si="20"/>
        <v>0</v>
      </c>
      <c r="T31" s="20">
        <v>13000</v>
      </c>
      <c r="U31" s="30">
        <f t="shared" si="1"/>
        <v>4235.5068493150702</v>
      </c>
      <c r="V31" s="32">
        <f t="shared" si="8"/>
        <v>4235.5068493150702</v>
      </c>
    </row>
    <row r="32" spans="1:22" ht="22.5" customHeight="1" x14ac:dyDescent="0.15">
      <c r="A32" s="13" t="s">
        <v>37</v>
      </c>
      <c r="B32" s="7" t="s">
        <v>11</v>
      </c>
      <c r="C32" s="13" t="s">
        <v>49</v>
      </c>
      <c r="D32" s="9">
        <v>149</v>
      </c>
      <c r="E32" s="25">
        <v>41260</v>
      </c>
      <c r="F32" s="10">
        <v>41518</v>
      </c>
      <c r="G32" s="11">
        <f t="shared" si="2"/>
        <v>8</v>
      </c>
      <c r="H32" s="20">
        <v>0.03</v>
      </c>
      <c r="I32" s="19">
        <f t="shared" si="3"/>
        <v>18.64</v>
      </c>
      <c r="J32" s="20">
        <v>0</v>
      </c>
      <c r="K32" s="20">
        <v>6.99</v>
      </c>
      <c r="L32" s="28">
        <f t="shared" si="4"/>
        <v>18.64</v>
      </c>
      <c r="M32" s="20">
        <v>9</v>
      </c>
      <c r="N32" s="47">
        <f t="shared" si="21"/>
        <v>41260</v>
      </c>
      <c r="O32" s="41">
        <f t="shared" si="22"/>
        <v>8</v>
      </c>
      <c r="P32" s="41">
        <f t="shared" si="10"/>
        <v>18.64</v>
      </c>
      <c r="Q32" s="53">
        <f t="shared" si="0"/>
        <v>18.64</v>
      </c>
      <c r="R32" s="20">
        <f t="shared" si="6"/>
        <v>9.64</v>
      </c>
      <c r="S32" s="20">
        <f t="shared" si="20"/>
        <v>-9</v>
      </c>
      <c r="T32" s="20">
        <v>13000</v>
      </c>
      <c r="U32" s="30">
        <f t="shared" si="1"/>
        <v>7966.6849315068503</v>
      </c>
      <c r="V32" s="32">
        <f t="shared" si="8"/>
        <v>4120.1095890410961</v>
      </c>
    </row>
    <row r="33" spans="1:22" ht="22.5" customHeight="1" x14ac:dyDescent="0.15">
      <c r="A33" s="13" t="s">
        <v>37</v>
      </c>
      <c r="B33" s="7" t="s">
        <v>122</v>
      </c>
      <c r="C33" s="13" t="s">
        <v>50</v>
      </c>
      <c r="D33" s="9">
        <v>153</v>
      </c>
      <c r="E33" s="25">
        <v>41306</v>
      </c>
      <c r="F33" s="10">
        <v>41518</v>
      </c>
      <c r="G33" s="11">
        <f t="shared" si="2"/>
        <v>7</v>
      </c>
      <c r="H33" s="20">
        <v>0.02</v>
      </c>
      <c r="I33" s="19">
        <f t="shared" si="3"/>
        <v>16.310000000000002</v>
      </c>
      <c r="J33" s="20">
        <v>14</v>
      </c>
      <c r="K33" s="20">
        <v>4.66</v>
      </c>
      <c r="L33" s="28">
        <f t="shared" si="4"/>
        <v>2.3100000000000023</v>
      </c>
      <c r="M33" s="20">
        <v>14</v>
      </c>
      <c r="N33" s="47">
        <f t="shared" si="21"/>
        <v>41306</v>
      </c>
      <c r="O33" s="41">
        <f t="shared" si="22"/>
        <v>7</v>
      </c>
      <c r="P33" s="41">
        <f t="shared" si="10"/>
        <v>16.310000000000002</v>
      </c>
      <c r="Q33" s="53">
        <f t="shared" si="0"/>
        <v>16.310000000000002</v>
      </c>
      <c r="R33" s="20">
        <f t="shared" si="6"/>
        <v>2.3100000000000023</v>
      </c>
      <c r="S33" s="20">
        <f t="shared" si="20"/>
        <v>0</v>
      </c>
      <c r="T33" s="20">
        <v>13000</v>
      </c>
      <c r="U33" s="30">
        <f t="shared" si="1"/>
        <v>987.28767123287776</v>
      </c>
      <c r="V33" s="32">
        <f t="shared" si="8"/>
        <v>987.28767123287776</v>
      </c>
    </row>
    <row r="34" spans="1:22" ht="22.5" customHeight="1" x14ac:dyDescent="0.15">
      <c r="A34" s="13" t="s">
        <v>37</v>
      </c>
      <c r="B34" s="7" t="s">
        <v>122</v>
      </c>
      <c r="C34" s="14" t="s">
        <v>51</v>
      </c>
      <c r="D34" s="9">
        <v>152</v>
      </c>
      <c r="E34" s="25">
        <v>41288</v>
      </c>
      <c r="F34" s="10">
        <v>41518</v>
      </c>
      <c r="G34" s="11">
        <f t="shared" si="2"/>
        <v>7</v>
      </c>
      <c r="H34" s="20">
        <v>0.02</v>
      </c>
      <c r="I34" s="19">
        <f t="shared" si="3"/>
        <v>16.310000000000002</v>
      </c>
      <c r="J34" s="20">
        <v>3</v>
      </c>
      <c r="K34" s="20">
        <v>4.66</v>
      </c>
      <c r="L34" s="28">
        <f t="shared" si="4"/>
        <v>13.310000000000002</v>
      </c>
      <c r="M34" s="20">
        <v>3</v>
      </c>
      <c r="N34" s="47">
        <f t="shared" si="21"/>
        <v>41288</v>
      </c>
      <c r="O34" s="41">
        <f t="shared" si="22"/>
        <v>7</v>
      </c>
      <c r="P34" s="41">
        <f t="shared" si="10"/>
        <v>16.310000000000002</v>
      </c>
      <c r="Q34" s="53">
        <f t="shared" si="0"/>
        <v>16.310000000000002</v>
      </c>
      <c r="R34" s="20">
        <f t="shared" si="6"/>
        <v>13.310000000000002</v>
      </c>
      <c r="S34" s="20">
        <f t="shared" si="20"/>
        <v>0</v>
      </c>
      <c r="T34" s="20">
        <v>13000</v>
      </c>
      <c r="U34" s="30">
        <f t="shared" si="1"/>
        <v>5688.6575342465767</v>
      </c>
      <c r="V34" s="32">
        <f t="shared" si="8"/>
        <v>5688.6575342465767</v>
      </c>
    </row>
    <row r="35" spans="1:22" ht="22.5" customHeight="1" x14ac:dyDescent="0.15">
      <c r="A35" s="7" t="s">
        <v>59</v>
      </c>
      <c r="B35" s="7" t="s">
        <v>38</v>
      </c>
      <c r="C35" s="15" t="s">
        <v>58</v>
      </c>
      <c r="D35" s="16">
        <v>122</v>
      </c>
      <c r="E35" s="25">
        <v>40787</v>
      </c>
      <c r="F35" s="10">
        <v>41518</v>
      </c>
      <c r="G35" s="11">
        <f t="shared" si="2"/>
        <v>24</v>
      </c>
      <c r="H35" s="20">
        <v>1.07</v>
      </c>
      <c r="I35" s="19">
        <f t="shared" si="3"/>
        <v>55.92</v>
      </c>
      <c r="J35" s="20">
        <v>62</v>
      </c>
      <c r="K35" s="20">
        <v>44.31</v>
      </c>
      <c r="L35" s="28">
        <f t="shared" si="4"/>
        <v>-6.0799999999999983</v>
      </c>
      <c r="M35" s="20">
        <v>61</v>
      </c>
      <c r="N35" s="47">
        <f t="shared" si="21"/>
        <v>40787</v>
      </c>
      <c r="O35" s="41">
        <f t="shared" si="22"/>
        <v>24</v>
      </c>
      <c r="P35" s="41">
        <f t="shared" si="10"/>
        <v>55.92</v>
      </c>
      <c r="Q35" s="53">
        <f t="shared" si="0"/>
        <v>55.92</v>
      </c>
      <c r="R35" s="20">
        <f t="shared" si="6"/>
        <v>-5.0799999999999983</v>
      </c>
      <c r="S35" s="20">
        <f t="shared" si="20"/>
        <v>1</v>
      </c>
      <c r="T35" s="20">
        <v>12000</v>
      </c>
      <c r="U35" s="30">
        <f t="shared" si="1"/>
        <v>-2398.6849315068484</v>
      </c>
      <c r="V35" s="32">
        <f t="shared" si="8"/>
        <v>-2004.164383561643</v>
      </c>
    </row>
    <row r="36" spans="1:22" ht="22.5" customHeight="1" x14ac:dyDescent="0.15">
      <c r="A36" s="7" t="s">
        <v>59</v>
      </c>
      <c r="B36" s="7" t="s">
        <v>11</v>
      </c>
      <c r="C36" s="7" t="s">
        <v>60</v>
      </c>
      <c r="D36" s="9">
        <v>84</v>
      </c>
      <c r="E36" s="25">
        <v>40136</v>
      </c>
      <c r="F36" s="10">
        <v>41518</v>
      </c>
      <c r="G36" s="11">
        <f t="shared" si="2"/>
        <v>45</v>
      </c>
      <c r="H36" s="20">
        <v>3.04</v>
      </c>
      <c r="I36" s="19">
        <f t="shared" si="3"/>
        <v>104.85000000000001</v>
      </c>
      <c r="J36" s="20">
        <v>79</v>
      </c>
      <c r="K36" s="20">
        <v>93.32</v>
      </c>
      <c r="L36" s="28">
        <f t="shared" si="4"/>
        <v>25.850000000000009</v>
      </c>
      <c r="M36" s="20">
        <v>114</v>
      </c>
      <c r="N36" s="47">
        <f t="shared" si="21"/>
        <v>40136</v>
      </c>
      <c r="O36" s="41">
        <f t="shared" si="22"/>
        <v>45</v>
      </c>
      <c r="P36" s="41">
        <f t="shared" si="10"/>
        <v>104.85000000000001</v>
      </c>
      <c r="Q36" s="53">
        <f t="shared" si="0"/>
        <v>104.85000000000001</v>
      </c>
      <c r="R36" s="20">
        <f t="shared" si="6"/>
        <v>-9.1499999999999915</v>
      </c>
      <c r="S36" s="20">
        <f t="shared" si="20"/>
        <v>-35</v>
      </c>
      <c r="T36" s="20">
        <v>13000</v>
      </c>
      <c r="U36" s="30">
        <f t="shared" si="1"/>
        <v>11048.219178082196</v>
      </c>
      <c r="V36" s="32">
        <f t="shared" si="8"/>
        <v>-3910.6849315068457</v>
      </c>
    </row>
    <row r="37" spans="1:22" ht="22.5" customHeight="1" x14ac:dyDescent="0.15">
      <c r="A37" s="7" t="s">
        <v>59</v>
      </c>
      <c r="B37" s="7" t="s">
        <v>13</v>
      </c>
      <c r="C37" s="7" t="s">
        <v>61</v>
      </c>
      <c r="D37" s="9">
        <v>82</v>
      </c>
      <c r="E37" s="25">
        <v>40119</v>
      </c>
      <c r="F37" s="10">
        <v>41518</v>
      </c>
      <c r="G37" s="11">
        <f t="shared" si="2"/>
        <v>45</v>
      </c>
      <c r="H37" s="20">
        <v>3.05</v>
      </c>
      <c r="I37" s="19">
        <f t="shared" si="3"/>
        <v>104.85000000000001</v>
      </c>
      <c r="J37" s="20">
        <v>94</v>
      </c>
      <c r="K37" s="20">
        <v>95.65</v>
      </c>
      <c r="L37" s="28">
        <f t="shared" si="4"/>
        <v>10.850000000000009</v>
      </c>
      <c r="M37" s="20">
        <f>90+14</f>
        <v>104</v>
      </c>
      <c r="N37" s="47">
        <f t="shared" si="21"/>
        <v>40119</v>
      </c>
      <c r="O37" s="41">
        <f t="shared" si="22"/>
        <v>45</v>
      </c>
      <c r="P37" s="41">
        <f t="shared" si="10"/>
        <v>104.85000000000001</v>
      </c>
      <c r="Q37" s="53">
        <f t="shared" si="0"/>
        <v>104.85000000000001</v>
      </c>
      <c r="R37" s="20">
        <f t="shared" si="6"/>
        <v>0.85000000000000853</v>
      </c>
      <c r="S37" s="20">
        <f t="shared" si="20"/>
        <v>-10</v>
      </c>
      <c r="T37" s="20">
        <v>18000</v>
      </c>
      <c r="U37" s="30">
        <f t="shared" si="1"/>
        <v>6420.8219178082245</v>
      </c>
      <c r="V37" s="32">
        <f t="shared" si="8"/>
        <v>503.01369863014202</v>
      </c>
    </row>
    <row r="38" spans="1:22" ht="22.5" customHeight="1" x14ac:dyDescent="0.15">
      <c r="A38" s="7" t="s">
        <v>59</v>
      </c>
      <c r="B38" s="7" t="s">
        <v>27</v>
      </c>
      <c r="C38" s="7" t="s">
        <v>62</v>
      </c>
      <c r="D38" s="9">
        <v>18</v>
      </c>
      <c r="E38" s="25">
        <v>38215</v>
      </c>
      <c r="F38" s="10">
        <v>41518</v>
      </c>
      <c r="G38" s="11">
        <f t="shared" si="2"/>
        <v>108</v>
      </c>
      <c r="H38" s="20">
        <v>8.07</v>
      </c>
      <c r="I38" s="19">
        <f t="shared" si="3"/>
        <v>251.64000000000001</v>
      </c>
      <c r="J38" s="20">
        <v>209</v>
      </c>
      <c r="K38" s="20">
        <v>240.31</v>
      </c>
      <c r="L38" s="28">
        <f t="shared" si="4"/>
        <v>42.640000000000015</v>
      </c>
      <c r="M38" s="20">
        <v>147</v>
      </c>
      <c r="N38" s="49">
        <v>39448</v>
      </c>
      <c r="O38" s="41">
        <f>DATEDIF(N38,F38,"m")</f>
        <v>68</v>
      </c>
      <c r="P38" s="41">
        <f t="shared" si="10"/>
        <v>158.44</v>
      </c>
      <c r="Q38" s="53">
        <f t="shared" si="0"/>
        <v>158.44</v>
      </c>
      <c r="R38" s="20">
        <f t="shared" si="6"/>
        <v>11.439999999999998</v>
      </c>
      <c r="S38" s="42"/>
      <c r="T38" s="20">
        <v>14000</v>
      </c>
      <c r="U38" s="30">
        <f t="shared" si="1"/>
        <v>19626.082191780828</v>
      </c>
      <c r="V38" s="32">
        <f t="shared" si="8"/>
        <v>5265.5342465753411</v>
      </c>
    </row>
    <row r="39" spans="1:22" ht="22.5" customHeight="1" x14ac:dyDescent="0.15">
      <c r="A39" s="7" t="s">
        <v>59</v>
      </c>
      <c r="B39" s="7" t="s">
        <v>11</v>
      </c>
      <c r="C39" s="7" t="s">
        <v>63</v>
      </c>
      <c r="D39" s="9">
        <v>104</v>
      </c>
      <c r="E39" s="25">
        <v>40469</v>
      </c>
      <c r="F39" s="10">
        <v>41518</v>
      </c>
      <c r="G39" s="11">
        <f t="shared" si="2"/>
        <v>34</v>
      </c>
      <c r="H39" s="20">
        <v>2.0499999999999998</v>
      </c>
      <c r="I39" s="19">
        <f t="shared" si="3"/>
        <v>79.22</v>
      </c>
      <c r="J39" s="20">
        <v>74</v>
      </c>
      <c r="K39" s="20">
        <v>67.650000000000006</v>
      </c>
      <c r="L39" s="28">
        <f t="shared" si="4"/>
        <v>5.2199999999999989</v>
      </c>
      <c r="M39" s="20">
        <v>74</v>
      </c>
      <c r="N39" s="47">
        <f t="shared" ref="N39:N40" si="23">E39</f>
        <v>40469</v>
      </c>
      <c r="O39" s="41">
        <f t="shared" ref="O39:O40" si="24">DATEDIF(N39,F39,"m")</f>
        <v>34</v>
      </c>
      <c r="P39" s="41">
        <f t="shared" si="10"/>
        <v>79.22</v>
      </c>
      <c r="Q39" s="53">
        <f t="shared" si="0"/>
        <v>79.22</v>
      </c>
      <c r="R39" s="20">
        <f t="shared" si="6"/>
        <v>5.2199999999999989</v>
      </c>
      <c r="S39" s="20">
        <f t="shared" si="20"/>
        <v>0</v>
      </c>
      <c r="T39" s="20">
        <v>13000</v>
      </c>
      <c r="U39" s="30">
        <f t="shared" si="1"/>
        <v>2231.0136986301368</v>
      </c>
      <c r="V39" s="32">
        <f t="shared" si="8"/>
        <v>2231.0136986301368</v>
      </c>
    </row>
    <row r="40" spans="1:22" ht="22.5" customHeight="1" x14ac:dyDescent="0.15">
      <c r="A40" s="7" t="s">
        <v>59</v>
      </c>
      <c r="B40" s="7" t="s">
        <v>122</v>
      </c>
      <c r="C40" s="7" t="s">
        <v>64</v>
      </c>
      <c r="D40" s="9">
        <v>150</v>
      </c>
      <c r="E40" s="25">
        <v>41283</v>
      </c>
      <c r="F40" s="10">
        <v>41518</v>
      </c>
      <c r="G40" s="11">
        <f t="shared" si="2"/>
        <v>7</v>
      </c>
      <c r="H40" s="20">
        <v>0.02</v>
      </c>
      <c r="I40" s="19">
        <f t="shared" si="3"/>
        <v>16.310000000000002</v>
      </c>
      <c r="J40" s="20">
        <f>1+1+14+1+1</f>
        <v>18</v>
      </c>
      <c r="K40" s="20">
        <v>4.66</v>
      </c>
      <c r="L40" s="28">
        <f t="shared" si="4"/>
        <v>-1.6899999999999977</v>
      </c>
      <c r="M40" s="20">
        <f>1+1+14</f>
        <v>16</v>
      </c>
      <c r="N40" s="47">
        <f t="shared" si="23"/>
        <v>41283</v>
      </c>
      <c r="O40" s="41">
        <f t="shared" si="24"/>
        <v>7</v>
      </c>
      <c r="P40" s="41">
        <f>O40*2.33</f>
        <v>16.310000000000002</v>
      </c>
      <c r="Q40" s="53">
        <f t="shared" si="0"/>
        <v>16.310000000000002</v>
      </c>
      <c r="R40" s="20">
        <f t="shared" si="6"/>
        <v>0.31000000000000227</v>
      </c>
      <c r="S40" s="20">
        <f t="shared" si="20"/>
        <v>2</v>
      </c>
      <c r="T40" s="20">
        <v>13000</v>
      </c>
      <c r="U40" s="30">
        <f t="shared" si="1"/>
        <v>-722.30136986301272</v>
      </c>
      <c r="V40" s="32">
        <f t="shared" si="8"/>
        <v>132.49315068493249</v>
      </c>
    </row>
    <row r="41" spans="1:22" ht="22.5" customHeight="1" x14ac:dyDescent="0.15">
      <c r="A41" s="7" t="s">
        <v>65</v>
      </c>
      <c r="B41" s="7" t="s">
        <v>66</v>
      </c>
      <c r="C41" s="7" t="s">
        <v>67</v>
      </c>
      <c r="D41" s="9">
        <v>31</v>
      </c>
      <c r="E41" s="25">
        <v>38727</v>
      </c>
      <c r="F41" s="10">
        <v>41518</v>
      </c>
      <c r="G41" s="11">
        <f t="shared" si="2"/>
        <v>91</v>
      </c>
      <c r="H41" s="20">
        <v>7.02</v>
      </c>
      <c r="I41" s="19">
        <f t="shared" si="3"/>
        <v>212.03</v>
      </c>
      <c r="J41" s="20">
        <v>178</v>
      </c>
      <c r="K41" s="20">
        <v>200.66</v>
      </c>
      <c r="L41" s="28">
        <f t="shared" si="4"/>
        <v>34.03</v>
      </c>
      <c r="M41" s="20">
        <v>125</v>
      </c>
      <c r="N41" s="49">
        <v>39448</v>
      </c>
      <c r="O41" s="41">
        <f>DATEDIF(N41,F41,"m")</f>
        <v>68</v>
      </c>
      <c r="P41" s="41">
        <f t="shared" si="10"/>
        <v>158.44</v>
      </c>
      <c r="Q41" s="53">
        <f t="shared" si="0"/>
        <v>158.44</v>
      </c>
      <c r="R41" s="20">
        <f t="shared" si="6"/>
        <v>33.44</v>
      </c>
      <c r="S41" s="42"/>
      <c r="T41" s="20">
        <v>18000</v>
      </c>
      <c r="U41" s="30">
        <f t="shared" si="1"/>
        <v>20138.301369863013</v>
      </c>
      <c r="V41" s="32">
        <f t="shared" si="8"/>
        <v>19789.150684931505</v>
      </c>
    </row>
    <row r="42" spans="1:22" ht="22.5" customHeight="1" x14ac:dyDescent="0.15">
      <c r="A42" s="7" t="s">
        <v>65</v>
      </c>
      <c r="B42" s="7" t="s">
        <v>68</v>
      </c>
      <c r="C42" s="7" t="s">
        <v>69</v>
      </c>
      <c r="D42" s="9">
        <v>127</v>
      </c>
      <c r="E42" s="25">
        <v>40918</v>
      </c>
      <c r="F42" s="10">
        <v>41518</v>
      </c>
      <c r="G42" s="11">
        <f t="shared" si="2"/>
        <v>19</v>
      </c>
      <c r="H42" s="20">
        <v>1.02</v>
      </c>
      <c r="I42" s="19">
        <f t="shared" si="3"/>
        <v>44.27</v>
      </c>
      <c r="J42" s="20">
        <v>42</v>
      </c>
      <c r="K42" s="20">
        <v>32.659999999999997</v>
      </c>
      <c r="L42" s="28">
        <f t="shared" si="4"/>
        <v>2.2700000000000031</v>
      </c>
      <c r="M42" s="20">
        <v>40</v>
      </c>
      <c r="N42" s="47">
        <f t="shared" ref="N42" si="25">E42</f>
        <v>40918</v>
      </c>
      <c r="O42" s="41">
        <f t="shared" ref="O42" si="26">DATEDIF(N42,F42,"m")</f>
        <v>19</v>
      </c>
      <c r="P42" s="41">
        <f t="shared" si="10"/>
        <v>44.27</v>
      </c>
      <c r="Q42" s="53">
        <f t="shared" si="0"/>
        <v>44.27</v>
      </c>
      <c r="R42" s="20">
        <f t="shared" si="6"/>
        <v>4.2700000000000031</v>
      </c>
      <c r="S42" s="20">
        <f t="shared" si="20"/>
        <v>2</v>
      </c>
      <c r="T42" s="20">
        <v>12000</v>
      </c>
      <c r="U42" s="30">
        <f t="shared" si="1"/>
        <v>895.56164383561759</v>
      </c>
      <c r="V42" s="32">
        <f t="shared" si="8"/>
        <v>1684.6027397260286</v>
      </c>
    </row>
    <row r="43" spans="1:22" ht="22.5" customHeight="1" x14ac:dyDescent="0.15">
      <c r="A43" s="7" t="s">
        <v>65</v>
      </c>
      <c r="B43" s="7" t="s">
        <v>68</v>
      </c>
      <c r="C43" s="7" t="s">
        <v>70</v>
      </c>
      <c r="D43" s="9">
        <v>58</v>
      </c>
      <c r="E43" s="25">
        <v>39479</v>
      </c>
      <c r="F43" s="10">
        <v>41518</v>
      </c>
      <c r="G43" s="11">
        <f t="shared" si="2"/>
        <v>67</v>
      </c>
      <c r="H43" s="20">
        <v>5.0199999999999996</v>
      </c>
      <c r="I43" s="19">
        <f t="shared" si="3"/>
        <v>156.11000000000001</v>
      </c>
      <c r="J43" s="20">
        <f>143+10</f>
        <v>153</v>
      </c>
      <c r="K43" s="20">
        <v>144.66</v>
      </c>
      <c r="L43" s="28">
        <f t="shared" si="4"/>
        <v>3.1100000000000136</v>
      </c>
      <c r="M43" s="20">
        <f>145+10</f>
        <v>155</v>
      </c>
      <c r="N43" s="49">
        <v>39448</v>
      </c>
      <c r="O43" s="41">
        <f>DATEDIF(E43,F43,"m")</f>
        <v>67</v>
      </c>
      <c r="P43" s="41">
        <f t="shared" si="10"/>
        <v>156.11000000000001</v>
      </c>
      <c r="Q43" s="53">
        <f t="shared" si="0"/>
        <v>156.11000000000001</v>
      </c>
      <c r="R43" s="20">
        <f t="shared" si="6"/>
        <v>1.1100000000000136</v>
      </c>
      <c r="S43" s="42"/>
      <c r="T43" s="20">
        <v>12000</v>
      </c>
      <c r="U43" s="30">
        <f t="shared" si="1"/>
        <v>1226.9589041095944</v>
      </c>
      <c r="V43" s="32">
        <f t="shared" si="8"/>
        <v>437.91780821918343</v>
      </c>
    </row>
    <row r="44" spans="1:22" ht="22.5" customHeight="1" x14ac:dyDescent="0.15">
      <c r="A44" s="7" t="s">
        <v>65</v>
      </c>
      <c r="B44" s="7" t="s">
        <v>68</v>
      </c>
      <c r="C44" s="7" t="s">
        <v>71</v>
      </c>
      <c r="D44" s="9">
        <v>96</v>
      </c>
      <c r="E44" s="25">
        <v>40360</v>
      </c>
      <c r="F44" s="10">
        <v>41518</v>
      </c>
      <c r="G44" s="11">
        <f t="shared" si="2"/>
        <v>38</v>
      </c>
      <c r="H44" s="20">
        <v>2.09</v>
      </c>
      <c r="I44" s="19">
        <f t="shared" si="3"/>
        <v>88.54</v>
      </c>
      <c r="J44" s="20">
        <v>69</v>
      </c>
      <c r="K44" s="20">
        <v>76.97</v>
      </c>
      <c r="L44" s="28">
        <f t="shared" si="4"/>
        <v>19.540000000000006</v>
      </c>
      <c r="M44" s="20">
        <v>81</v>
      </c>
      <c r="N44" s="47">
        <f t="shared" ref="N44:N46" si="27">E44</f>
        <v>40360</v>
      </c>
      <c r="O44" s="41">
        <f t="shared" ref="O44:O46" si="28">DATEDIF(N44,F44,"m")</f>
        <v>38</v>
      </c>
      <c r="P44" s="41">
        <f t="shared" si="10"/>
        <v>88.54</v>
      </c>
      <c r="Q44" s="53">
        <f t="shared" si="0"/>
        <v>88.54</v>
      </c>
      <c r="R44" s="20">
        <f t="shared" si="6"/>
        <v>7.5400000000000063</v>
      </c>
      <c r="S44" s="20">
        <f t="shared" si="20"/>
        <v>-12</v>
      </c>
      <c r="T44" s="20">
        <v>12000</v>
      </c>
      <c r="U44" s="30">
        <f t="shared" si="1"/>
        <v>7708.931506849317</v>
      </c>
      <c r="V44" s="32">
        <f t="shared" si="8"/>
        <v>2974.6849315068516</v>
      </c>
    </row>
    <row r="45" spans="1:22" ht="22.5" customHeight="1" x14ac:dyDescent="0.15">
      <c r="A45" s="7" t="s">
        <v>65</v>
      </c>
      <c r="B45" s="7" t="s">
        <v>68</v>
      </c>
      <c r="C45" s="7" t="s">
        <v>72</v>
      </c>
      <c r="D45" s="9">
        <v>133</v>
      </c>
      <c r="E45" s="25">
        <v>41001</v>
      </c>
      <c r="F45" s="10">
        <v>41518</v>
      </c>
      <c r="G45" s="11">
        <f t="shared" si="2"/>
        <v>16</v>
      </c>
      <c r="H45" s="19">
        <v>1</v>
      </c>
      <c r="I45" s="19">
        <f t="shared" si="3"/>
        <v>37.28</v>
      </c>
      <c r="J45" s="20">
        <v>25</v>
      </c>
      <c r="K45" s="20">
        <v>28</v>
      </c>
      <c r="L45" s="28">
        <f t="shared" si="4"/>
        <v>12.280000000000001</v>
      </c>
      <c r="M45" s="20">
        <v>31</v>
      </c>
      <c r="N45" s="47">
        <f t="shared" si="27"/>
        <v>41001</v>
      </c>
      <c r="O45" s="41">
        <f t="shared" si="28"/>
        <v>16</v>
      </c>
      <c r="P45" s="41">
        <f t="shared" si="10"/>
        <v>37.28</v>
      </c>
      <c r="Q45" s="53">
        <f t="shared" si="0"/>
        <v>37.28</v>
      </c>
      <c r="R45" s="20">
        <f t="shared" si="6"/>
        <v>6.2800000000000011</v>
      </c>
      <c r="S45" s="20">
        <f t="shared" si="20"/>
        <v>-6</v>
      </c>
      <c r="T45" s="20">
        <v>12000</v>
      </c>
      <c r="U45" s="30">
        <f t="shared" si="1"/>
        <v>4844.7123287671238</v>
      </c>
      <c r="V45" s="32">
        <f t="shared" si="8"/>
        <v>2477.5890410958909</v>
      </c>
    </row>
    <row r="46" spans="1:22" ht="22.5" customHeight="1" x14ac:dyDescent="0.15">
      <c r="A46" s="7" t="s">
        <v>65</v>
      </c>
      <c r="B46" s="7" t="s">
        <v>73</v>
      </c>
      <c r="C46" s="7" t="s">
        <v>74</v>
      </c>
      <c r="D46" s="9">
        <v>135</v>
      </c>
      <c r="E46" s="25">
        <v>41067</v>
      </c>
      <c r="F46" s="10">
        <v>41518</v>
      </c>
      <c r="G46" s="11">
        <f t="shared" si="2"/>
        <v>14</v>
      </c>
      <c r="H46" s="20">
        <v>0.09</v>
      </c>
      <c r="I46" s="19">
        <f t="shared" si="3"/>
        <v>32.620000000000005</v>
      </c>
      <c r="J46" s="20">
        <v>35</v>
      </c>
      <c r="K46" s="20">
        <v>20.97</v>
      </c>
      <c r="L46" s="28">
        <f t="shared" si="4"/>
        <v>-2.3799999999999955</v>
      </c>
      <c r="M46" s="20">
        <v>42</v>
      </c>
      <c r="N46" s="47">
        <f t="shared" si="27"/>
        <v>41067</v>
      </c>
      <c r="O46" s="41">
        <f t="shared" si="28"/>
        <v>14</v>
      </c>
      <c r="P46" s="41">
        <f>O46*2.33</f>
        <v>32.620000000000005</v>
      </c>
      <c r="Q46" s="53">
        <f t="shared" si="0"/>
        <v>32.620000000000005</v>
      </c>
      <c r="R46" s="20">
        <f t="shared" si="6"/>
        <v>-9.3799999999999955</v>
      </c>
      <c r="S46" s="20">
        <f t="shared" si="20"/>
        <v>-7</v>
      </c>
      <c r="T46" s="20">
        <v>13000</v>
      </c>
      <c r="U46" s="30">
        <f t="shared" si="1"/>
        <v>-1017.2054794520529</v>
      </c>
      <c r="V46" s="32">
        <f t="shared" si="8"/>
        <v>-4008.9863013698614</v>
      </c>
    </row>
    <row r="47" spans="1:22" ht="22.5" customHeight="1" x14ac:dyDescent="0.15">
      <c r="A47" s="7" t="s">
        <v>65</v>
      </c>
      <c r="B47" s="7" t="s">
        <v>75</v>
      </c>
      <c r="C47" s="7" t="s">
        <v>76</v>
      </c>
      <c r="D47" s="9">
        <v>43</v>
      </c>
      <c r="E47" s="25">
        <v>39234</v>
      </c>
      <c r="F47" s="10">
        <v>41518</v>
      </c>
      <c r="G47" s="11">
        <f t="shared" si="2"/>
        <v>75</v>
      </c>
      <c r="H47" s="19">
        <v>5.0999999999999996</v>
      </c>
      <c r="I47" s="19">
        <f t="shared" si="3"/>
        <v>174.75</v>
      </c>
      <c r="J47" s="20">
        <v>155</v>
      </c>
      <c r="K47" s="20">
        <v>163.30000000000001</v>
      </c>
      <c r="L47" s="28">
        <f t="shared" si="4"/>
        <v>19.75</v>
      </c>
      <c r="M47" s="20">
        <v>157</v>
      </c>
      <c r="N47" s="49">
        <v>39448</v>
      </c>
      <c r="O47" s="41">
        <f>DATEDIF(N47,F47,"m")</f>
        <v>68</v>
      </c>
      <c r="P47" s="41">
        <f t="shared" si="10"/>
        <v>158.44</v>
      </c>
      <c r="Q47" s="53">
        <f t="shared" si="0"/>
        <v>158.44</v>
      </c>
      <c r="R47" s="20">
        <f t="shared" si="6"/>
        <v>1.4399999999999977</v>
      </c>
      <c r="S47" s="42"/>
      <c r="T47" s="20">
        <v>12000</v>
      </c>
      <c r="U47" s="30">
        <f t="shared" si="1"/>
        <v>7791.7808219178078</v>
      </c>
      <c r="V47" s="32">
        <f t="shared" si="8"/>
        <v>568.10958904109498</v>
      </c>
    </row>
    <row r="48" spans="1:22" ht="22.5" customHeight="1" x14ac:dyDescent="0.15">
      <c r="A48" s="13" t="s">
        <v>77</v>
      </c>
      <c r="B48" s="17" t="s">
        <v>78</v>
      </c>
      <c r="C48" s="7" t="s">
        <v>79</v>
      </c>
      <c r="D48" s="9">
        <v>3</v>
      </c>
      <c r="E48" s="25">
        <v>37622</v>
      </c>
      <c r="F48" s="10">
        <v>41518</v>
      </c>
      <c r="G48" s="11">
        <f t="shared" si="2"/>
        <v>128</v>
      </c>
      <c r="H48" s="20">
        <v>10.029999999999999</v>
      </c>
      <c r="I48" s="19">
        <f t="shared" si="3"/>
        <v>298.24</v>
      </c>
      <c r="J48" s="20">
        <v>273</v>
      </c>
      <c r="K48" s="20">
        <v>286.99</v>
      </c>
      <c r="L48" s="28">
        <f t="shared" si="4"/>
        <v>25.240000000000009</v>
      </c>
      <c r="M48" s="20">
        <v>137</v>
      </c>
      <c r="N48" s="49">
        <v>39448</v>
      </c>
      <c r="O48" s="41">
        <f>DATEDIF(N48,F48,"m")</f>
        <v>68</v>
      </c>
      <c r="P48" s="41">
        <f t="shared" si="10"/>
        <v>158.44</v>
      </c>
      <c r="Q48" s="53">
        <f t="shared" si="0"/>
        <v>158.44</v>
      </c>
      <c r="R48" s="20">
        <f t="shared" si="6"/>
        <v>21.439999999999998</v>
      </c>
      <c r="S48" s="42"/>
      <c r="T48" s="20">
        <v>20000</v>
      </c>
      <c r="U48" s="30">
        <f t="shared" si="1"/>
        <v>16596.164383561649</v>
      </c>
      <c r="V48" s="32">
        <f t="shared" si="8"/>
        <v>14097.53424657534</v>
      </c>
    </row>
    <row r="49" spans="1:22" ht="22.5" customHeight="1" x14ac:dyDescent="0.15">
      <c r="A49" s="13" t="s">
        <v>77</v>
      </c>
      <c r="B49" s="22" t="s">
        <v>80</v>
      </c>
      <c r="C49" s="12" t="s">
        <v>81</v>
      </c>
      <c r="D49" s="9">
        <v>36</v>
      </c>
      <c r="E49" s="25">
        <v>38930</v>
      </c>
      <c r="F49" s="10">
        <v>41518</v>
      </c>
      <c r="G49" s="11">
        <f t="shared" si="2"/>
        <v>85</v>
      </c>
      <c r="H49" s="20">
        <v>6.08</v>
      </c>
      <c r="I49" s="19">
        <f t="shared" si="3"/>
        <v>198.05</v>
      </c>
      <c r="J49" s="20">
        <v>151</v>
      </c>
      <c r="K49" s="20">
        <v>186.64</v>
      </c>
      <c r="L49" s="28">
        <f t="shared" si="4"/>
        <v>47.050000000000011</v>
      </c>
      <c r="M49" s="20">
        <v>144</v>
      </c>
      <c r="N49" s="49">
        <v>39448</v>
      </c>
      <c r="O49" s="41">
        <f>DATEDIF(N49,F49,"m")</f>
        <v>68</v>
      </c>
      <c r="P49" s="41">
        <f t="shared" si="10"/>
        <v>158.44</v>
      </c>
      <c r="Q49" s="53">
        <f t="shared" si="0"/>
        <v>158.44</v>
      </c>
      <c r="R49" s="20">
        <f t="shared" si="6"/>
        <v>14.439999999999998</v>
      </c>
      <c r="S49" s="42"/>
      <c r="T49" s="20">
        <v>13000</v>
      </c>
      <c r="U49" s="30">
        <f t="shared" si="1"/>
        <v>20109.041095890418</v>
      </c>
      <c r="V49" s="32">
        <f t="shared" si="8"/>
        <v>6171.6164383561636</v>
      </c>
    </row>
    <row r="50" spans="1:22" ht="22.5" customHeight="1" x14ac:dyDescent="0.15">
      <c r="A50" s="13" t="s">
        <v>77</v>
      </c>
      <c r="B50" s="7" t="s">
        <v>80</v>
      </c>
      <c r="C50" s="7" t="s">
        <v>82</v>
      </c>
      <c r="D50" s="9">
        <v>63</v>
      </c>
      <c r="E50" s="25">
        <v>39572</v>
      </c>
      <c r="F50" s="10">
        <v>41518</v>
      </c>
      <c r="G50" s="11">
        <f t="shared" si="2"/>
        <v>63</v>
      </c>
      <c r="H50" s="19">
        <v>4.0999999999999996</v>
      </c>
      <c r="I50" s="19">
        <f t="shared" si="3"/>
        <v>146.79</v>
      </c>
      <c r="J50" s="20">
        <v>35</v>
      </c>
      <c r="K50" s="20">
        <v>135.30000000000001</v>
      </c>
      <c r="L50" s="28">
        <f t="shared" si="4"/>
        <v>111.78999999999999</v>
      </c>
      <c r="M50" s="20">
        <v>32</v>
      </c>
      <c r="N50" s="49">
        <v>39448</v>
      </c>
      <c r="O50" s="41">
        <f>DATEDIF(E50,F50,"m")</f>
        <v>63</v>
      </c>
      <c r="P50" s="41">
        <f t="shared" si="10"/>
        <v>146.79</v>
      </c>
      <c r="Q50" s="53">
        <f t="shared" si="0"/>
        <v>146.79</v>
      </c>
      <c r="R50" s="20">
        <f t="shared" si="6"/>
        <v>114.78999999999999</v>
      </c>
      <c r="S50" s="42"/>
      <c r="T50" s="20">
        <v>13000</v>
      </c>
      <c r="U50" s="30">
        <f t="shared" si="1"/>
        <v>47778.739726027394</v>
      </c>
      <c r="V50" s="32">
        <f t="shared" si="8"/>
        <v>49060.931506849316</v>
      </c>
    </row>
    <row r="51" spans="1:22" ht="22.5" customHeight="1" x14ac:dyDescent="0.15">
      <c r="A51" s="13" t="s">
        <v>77</v>
      </c>
      <c r="B51" s="7" t="s">
        <v>80</v>
      </c>
      <c r="C51" s="7" t="s">
        <v>83</v>
      </c>
      <c r="D51" s="9">
        <v>144</v>
      </c>
      <c r="E51" s="25">
        <v>41183</v>
      </c>
      <c r="F51" s="10">
        <v>41518</v>
      </c>
      <c r="G51" s="11">
        <f t="shared" si="2"/>
        <v>11</v>
      </c>
      <c r="H51" s="20">
        <v>0.06</v>
      </c>
      <c r="I51" s="19">
        <f t="shared" si="3"/>
        <v>25.630000000000003</v>
      </c>
      <c r="J51" s="20">
        <v>0</v>
      </c>
      <c r="K51" s="20">
        <v>13.98</v>
      </c>
      <c r="L51" s="28">
        <f t="shared" si="4"/>
        <v>25.630000000000003</v>
      </c>
      <c r="M51" s="20">
        <v>0</v>
      </c>
      <c r="N51" s="47">
        <f t="shared" ref="N51:N52" si="29">E51</f>
        <v>41183</v>
      </c>
      <c r="O51" s="41">
        <f t="shared" ref="O51:O53" si="30">DATEDIF(N51,F51,"m")</f>
        <v>11</v>
      </c>
      <c r="P51" s="41">
        <f t="shared" si="10"/>
        <v>25.630000000000003</v>
      </c>
      <c r="Q51" s="53">
        <f t="shared" si="0"/>
        <v>25.630000000000003</v>
      </c>
      <c r="R51" s="20">
        <f t="shared" si="6"/>
        <v>25.630000000000003</v>
      </c>
      <c r="S51" s="20">
        <f t="shared" si="20"/>
        <v>0</v>
      </c>
      <c r="T51" s="20">
        <v>13000</v>
      </c>
      <c r="U51" s="30">
        <f t="shared" si="1"/>
        <v>10954.191780821919</v>
      </c>
      <c r="V51" s="32">
        <f t="shared" si="8"/>
        <v>10954.191780821919</v>
      </c>
    </row>
    <row r="52" spans="1:22" ht="22.5" customHeight="1" x14ac:dyDescent="0.15">
      <c r="A52" s="13" t="s">
        <v>77</v>
      </c>
      <c r="B52" s="7" t="s">
        <v>80</v>
      </c>
      <c r="C52" s="7" t="s">
        <v>84</v>
      </c>
      <c r="D52" s="9">
        <v>145</v>
      </c>
      <c r="E52" s="25">
        <v>41183</v>
      </c>
      <c r="F52" s="10">
        <v>41518</v>
      </c>
      <c r="G52" s="11">
        <f t="shared" si="2"/>
        <v>11</v>
      </c>
      <c r="H52" s="20">
        <v>0.06</v>
      </c>
      <c r="I52" s="19">
        <f t="shared" si="3"/>
        <v>25.630000000000003</v>
      </c>
      <c r="J52" s="20">
        <v>7</v>
      </c>
      <c r="K52" s="20">
        <v>13.98</v>
      </c>
      <c r="L52" s="28">
        <f t="shared" si="4"/>
        <v>18.630000000000003</v>
      </c>
      <c r="M52" s="20">
        <v>7</v>
      </c>
      <c r="N52" s="47">
        <f t="shared" si="29"/>
        <v>41183</v>
      </c>
      <c r="O52" s="41">
        <f t="shared" si="30"/>
        <v>11</v>
      </c>
      <c r="P52" s="41">
        <f>O52*2.33</f>
        <v>25.630000000000003</v>
      </c>
      <c r="Q52" s="53">
        <f t="shared" si="0"/>
        <v>25.630000000000003</v>
      </c>
      <c r="R52" s="20">
        <f t="shared" si="6"/>
        <v>18.630000000000003</v>
      </c>
      <c r="S52" s="20">
        <f t="shared" si="20"/>
        <v>0</v>
      </c>
      <c r="T52" s="20">
        <v>13000</v>
      </c>
      <c r="U52" s="30">
        <f t="shared" si="1"/>
        <v>7962.4109589041109</v>
      </c>
      <c r="V52" s="32">
        <f t="shared" si="8"/>
        <v>7962.4109589041109</v>
      </c>
    </row>
    <row r="53" spans="1:22" ht="22.5" customHeight="1" x14ac:dyDescent="0.15">
      <c r="A53" s="13" t="s">
        <v>77</v>
      </c>
      <c r="B53" s="7" t="s">
        <v>80</v>
      </c>
      <c r="C53" s="7" t="s">
        <v>132</v>
      </c>
      <c r="D53" s="9"/>
      <c r="E53" s="25">
        <v>41429</v>
      </c>
      <c r="F53" s="10">
        <v>41518</v>
      </c>
      <c r="G53" s="11">
        <f t="shared" si="2"/>
        <v>2</v>
      </c>
      <c r="H53" s="20">
        <v>0.06</v>
      </c>
      <c r="I53" s="19">
        <f t="shared" si="3"/>
        <v>4.66</v>
      </c>
      <c r="J53" s="20">
        <v>0</v>
      </c>
      <c r="K53" s="20">
        <v>13.98</v>
      </c>
      <c r="L53" s="28">
        <f t="shared" si="4"/>
        <v>4.66</v>
      </c>
      <c r="M53" s="20">
        <v>0</v>
      </c>
      <c r="N53" s="49">
        <v>41429</v>
      </c>
      <c r="O53" s="41">
        <f t="shared" si="30"/>
        <v>2</v>
      </c>
      <c r="P53" s="41">
        <f>O53*2.33</f>
        <v>4.66</v>
      </c>
      <c r="Q53" s="53">
        <f t="shared" si="0"/>
        <v>4.66</v>
      </c>
      <c r="R53" s="20">
        <f t="shared" si="6"/>
        <v>4.66</v>
      </c>
      <c r="S53" s="20">
        <f t="shared" si="20"/>
        <v>0</v>
      </c>
      <c r="T53" s="20">
        <v>12000</v>
      </c>
      <c r="U53" s="30">
        <f t="shared" si="1"/>
        <v>1838.4657534246576</v>
      </c>
      <c r="V53" s="32">
        <f t="shared" si="8"/>
        <v>1838.4657534246576</v>
      </c>
    </row>
    <row r="54" spans="1:22" ht="22.5" customHeight="1" x14ac:dyDescent="0.15">
      <c r="A54" s="13" t="s">
        <v>77</v>
      </c>
      <c r="B54" s="7" t="s">
        <v>80</v>
      </c>
      <c r="C54" s="7" t="s">
        <v>129</v>
      </c>
      <c r="D54" s="9"/>
      <c r="E54" s="25">
        <v>41365</v>
      </c>
      <c r="F54" s="10">
        <v>41518</v>
      </c>
      <c r="G54" s="11">
        <f t="shared" si="2"/>
        <v>5</v>
      </c>
      <c r="H54" s="20">
        <v>0.02</v>
      </c>
      <c r="I54" s="19">
        <f t="shared" si="3"/>
        <v>11.65</v>
      </c>
      <c r="J54" s="20">
        <v>0</v>
      </c>
      <c r="K54" s="20">
        <v>135.30000000000001</v>
      </c>
      <c r="L54" s="28">
        <f t="shared" si="4"/>
        <v>11.65</v>
      </c>
      <c r="M54" s="20">
        <v>0</v>
      </c>
      <c r="N54" s="47">
        <f t="shared" ref="N54:N57" si="31">E54</f>
        <v>41365</v>
      </c>
      <c r="O54" s="41">
        <f t="shared" ref="O54" si="32">DATEDIF(E54,F54,"m")</f>
        <v>5</v>
      </c>
      <c r="P54" s="41">
        <f t="shared" si="10"/>
        <v>11.65</v>
      </c>
      <c r="Q54" s="53">
        <f t="shared" si="0"/>
        <v>11.65</v>
      </c>
      <c r="R54" s="20">
        <f t="shared" si="6"/>
        <v>11.65</v>
      </c>
      <c r="S54" s="20">
        <f t="shared" si="20"/>
        <v>0</v>
      </c>
      <c r="T54" s="20">
        <v>13000</v>
      </c>
      <c r="U54" s="30">
        <f t="shared" si="1"/>
        <v>4979.178082191781</v>
      </c>
      <c r="V54" s="32">
        <f t="shared" si="8"/>
        <v>4979.178082191781</v>
      </c>
    </row>
    <row r="55" spans="1:22" ht="22.5" customHeight="1" x14ac:dyDescent="0.15">
      <c r="A55" s="13" t="s">
        <v>37</v>
      </c>
      <c r="B55" s="7" t="s">
        <v>122</v>
      </c>
      <c r="C55" s="7" t="s">
        <v>131</v>
      </c>
      <c r="D55" s="9"/>
      <c r="E55" s="26">
        <v>41393</v>
      </c>
      <c r="F55" s="10">
        <v>41518</v>
      </c>
      <c r="G55" s="11">
        <f t="shared" si="2"/>
        <v>4</v>
      </c>
      <c r="H55" s="20">
        <v>0.02</v>
      </c>
      <c r="I55" s="19">
        <f t="shared" si="3"/>
        <v>9.32</v>
      </c>
      <c r="J55" s="20">
        <v>0</v>
      </c>
      <c r="K55" s="20">
        <v>4.66</v>
      </c>
      <c r="L55" s="28">
        <f t="shared" si="4"/>
        <v>9.32</v>
      </c>
      <c r="M55" s="20">
        <v>0</v>
      </c>
      <c r="N55" s="47">
        <f t="shared" si="31"/>
        <v>41393</v>
      </c>
      <c r="O55" s="41">
        <f t="shared" ref="O55:O59" si="33">DATEDIF(N55,F55,"m")</f>
        <v>4</v>
      </c>
      <c r="P55" s="41">
        <f t="shared" si="10"/>
        <v>9.32</v>
      </c>
      <c r="Q55" s="53">
        <f t="shared" si="0"/>
        <v>9.32</v>
      </c>
      <c r="R55" s="20">
        <f t="shared" si="6"/>
        <v>9.32</v>
      </c>
      <c r="S55" s="20">
        <f t="shared" si="20"/>
        <v>0</v>
      </c>
      <c r="T55" s="20">
        <v>13000</v>
      </c>
      <c r="U55" s="30">
        <f t="shared" si="1"/>
        <v>3983.3424657534251</v>
      </c>
      <c r="V55" s="32">
        <f t="shared" si="8"/>
        <v>3983.3424657534251</v>
      </c>
    </row>
    <row r="56" spans="1:22" ht="22.5" customHeight="1" x14ac:dyDescent="0.15">
      <c r="A56" s="17"/>
      <c r="B56" s="65"/>
      <c r="C56" s="15" t="s">
        <v>133</v>
      </c>
      <c r="D56" s="66"/>
      <c r="E56" s="26">
        <v>41456</v>
      </c>
      <c r="F56" s="10">
        <v>41518</v>
      </c>
      <c r="G56" s="67">
        <f t="shared" si="2"/>
        <v>2</v>
      </c>
      <c r="H56" s="20"/>
      <c r="I56" s="19">
        <f t="shared" si="3"/>
        <v>4.66</v>
      </c>
      <c r="J56" s="20">
        <v>0</v>
      </c>
      <c r="K56" s="20"/>
      <c r="L56" s="28">
        <f t="shared" si="4"/>
        <v>4.66</v>
      </c>
      <c r="M56" s="20">
        <v>0</v>
      </c>
      <c r="N56" s="47">
        <f t="shared" si="31"/>
        <v>41456</v>
      </c>
      <c r="O56" s="41">
        <f t="shared" si="33"/>
        <v>2</v>
      </c>
      <c r="P56" s="41">
        <f t="shared" si="10"/>
        <v>4.66</v>
      </c>
      <c r="Q56" s="53">
        <f t="shared" si="0"/>
        <v>4.66</v>
      </c>
      <c r="R56" s="20">
        <f t="shared" si="6"/>
        <v>4.66</v>
      </c>
      <c r="S56" s="20">
        <f t="shared" si="20"/>
        <v>0</v>
      </c>
      <c r="T56" s="20">
        <v>13000</v>
      </c>
      <c r="U56" s="30">
        <f t="shared" si="1"/>
        <v>1991.6712328767126</v>
      </c>
      <c r="V56" s="32">
        <f t="shared" si="8"/>
        <v>1991.6712328767126</v>
      </c>
    </row>
    <row r="57" spans="1:22" ht="22.5" customHeight="1" x14ac:dyDescent="0.15">
      <c r="A57" s="17"/>
      <c r="B57" s="65"/>
      <c r="C57" s="15" t="s">
        <v>134</v>
      </c>
      <c r="D57" s="66"/>
      <c r="E57" s="26">
        <v>41477</v>
      </c>
      <c r="F57" s="10">
        <v>41518</v>
      </c>
      <c r="G57" s="67">
        <f t="shared" si="2"/>
        <v>1</v>
      </c>
      <c r="H57" s="20"/>
      <c r="I57" s="19">
        <f t="shared" si="3"/>
        <v>2.33</v>
      </c>
      <c r="J57" s="20">
        <v>0</v>
      </c>
      <c r="K57" s="20"/>
      <c r="L57" s="28">
        <f t="shared" si="4"/>
        <v>2.33</v>
      </c>
      <c r="M57" s="20">
        <v>0</v>
      </c>
      <c r="N57" s="47">
        <f t="shared" si="31"/>
        <v>41477</v>
      </c>
      <c r="O57" s="41">
        <f t="shared" si="33"/>
        <v>1</v>
      </c>
      <c r="P57" s="41">
        <f t="shared" si="10"/>
        <v>2.33</v>
      </c>
      <c r="Q57" s="53">
        <f t="shared" si="0"/>
        <v>2.33</v>
      </c>
      <c r="R57" s="20">
        <f t="shared" si="6"/>
        <v>2.33</v>
      </c>
      <c r="S57" s="20">
        <f t="shared" si="20"/>
        <v>0</v>
      </c>
      <c r="T57" s="20">
        <v>13000</v>
      </c>
      <c r="U57" s="30">
        <f t="shared" si="1"/>
        <v>995.83561643835628</v>
      </c>
      <c r="V57" s="32">
        <f t="shared" si="8"/>
        <v>995.83561643835628</v>
      </c>
    </row>
    <row r="58" spans="1:22" ht="22.5" customHeight="1" x14ac:dyDescent="0.15">
      <c r="A58" s="17"/>
      <c r="B58" s="65"/>
      <c r="C58" s="15" t="s">
        <v>135</v>
      </c>
      <c r="D58" s="66"/>
      <c r="E58" s="26">
        <v>41477</v>
      </c>
      <c r="F58" s="10">
        <v>41518</v>
      </c>
      <c r="G58" s="67">
        <f t="shared" si="2"/>
        <v>1</v>
      </c>
      <c r="H58" s="20"/>
      <c r="I58" s="19">
        <f t="shared" si="3"/>
        <v>2.33</v>
      </c>
      <c r="J58" s="20">
        <v>0</v>
      </c>
      <c r="K58" s="20"/>
      <c r="L58" s="28">
        <f t="shared" si="4"/>
        <v>2.33</v>
      </c>
      <c r="M58" s="20">
        <v>0</v>
      </c>
      <c r="N58" s="47">
        <v>41477</v>
      </c>
      <c r="O58" s="41">
        <f t="shared" si="33"/>
        <v>1</v>
      </c>
      <c r="P58" s="41">
        <f t="shared" si="10"/>
        <v>2.33</v>
      </c>
      <c r="Q58" s="53">
        <f t="shared" si="0"/>
        <v>2.33</v>
      </c>
      <c r="R58" s="20">
        <f t="shared" si="6"/>
        <v>2.33</v>
      </c>
      <c r="S58" s="20">
        <f t="shared" si="20"/>
        <v>0</v>
      </c>
      <c r="T58" s="20">
        <v>13000</v>
      </c>
      <c r="U58" s="30">
        <f t="shared" si="1"/>
        <v>995.83561643835628</v>
      </c>
      <c r="V58" s="32">
        <f t="shared" si="8"/>
        <v>995.83561643835628</v>
      </c>
    </row>
    <row r="59" spans="1:22" ht="22.5" customHeight="1" x14ac:dyDescent="0.15">
      <c r="A59" s="17"/>
      <c r="C59" s="15" t="s">
        <v>136</v>
      </c>
      <c r="D59" s="66"/>
      <c r="E59" s="26">
        <v>41487</v>
      </c>
      <c r="F59" s="10">
        <v>41518</v>
      </c>
      <c r="G59" s="67">
        <f t="shared" si="2"/>
        <v>1</v>
      </c>
      <c r="H59" s="20"/>
      <c r="I59" s="19">
        <f t="shared" si="3"/>
        <v>2.33</v>
      </c>
      <c r="J59" s="20">
        <v>0</v>
      </c>
      <c r="K59" s="20"/>
      <c r="L59" s="28">
        <f t="shared" si="4"/>
        <v>2.33</v>
      </c>
      <c r="M59" s="20">
        <v>0</v>
      </c>
      <c r="N59" s="47">
        <v>41487</v>
      </c>
      <c r="O59" s="41">
        <f t="shared" si="33"/>
        <v>1</v>
      </c>
      <c r="P59" s="41">
        <f t="shared" si="10"/>
        <v>2.33</v>
      </c>
      <c r="Q59" s="53">
        <f t="shared" si="0"/>
        <v>2.33</v>
      </c>
      <c r="R59" s="20">
        <f t="shared" si="6"/>
        <v>2.33</v>
      </c>
      <c r="S59" s="20">
        <f t="shared" si="20"/>
        <v>0</v>
      </c>
      <c r="T59" s="20">
        <v>13000</v>
      </c>
      <c r="U59" s="30">
        <f t="shared" si="1"/>
        <v>995.83561643835628</v>
      </c>
      <c r="V59" s="32">
        <f t="shared" si="8"/>
        <v>995.83561643835628</v>
      </c>
    </row>
    <row r="60" spans="1:22" ht="22.5" customHeight="1" x14ac:dyDescent="0.15">
      <c r="C60" s="65"/>
      <c r="D60" s="63"/>
      <c r="E60" s="64"/>
      <c r="F60" s="68"/>
      <c r="G60" s="23"/>
      <c r="H60" s="23"/>
      <c r="I60" s="23"/>
      <c r="J60" s="23"/>
      <c r="K60" s="23"/>
      <c r="L60" s="27">
        <f>SUBTOTAL(9,L5:L55)</f>
        <v>1169.46</v>
      </c>
      <c r="M60" s="23"/>
      <c r="N60" s="48"/>
      <c r="O60" s="48"/>
      <c r="P60" s="48"/>
      <c r="Q60" s="54"/>
      <c r="R60" s="27">
        <f>SUBTOTAL(9,R5:R57)</f>
        <v>809.56000000000006</v>
      </c>
      <c r="S60" s="23"/>
      <c r="T60" s="59">
        <f>SUBTOTAL(9,T5:T55)</f>
        <v>708000</v>
      </c>
      <c r="U60" s="60">
        <f>SUM(U5:U59)</f>
        <v>658676.38356164389</v>
      </c>
      <c r="V60" s="58">
        <f>SUM(V5:V59)</f>
        <v>424332.49315068498</v>
      </c>
    </row>
    <row r="61" spans="1:22" ht="22.5" customHeight="1" x14ac:dyDescent="0.15">
      <c r="C61" s="65"/>
      <c r="D61" s="63"/>
      <c r="E61" s="64"/>
      <c r="F61" s="68"/>
    </row>
    <row r="62" spans="1:22" ht="22.5" customHeight="1" x14ac:dyDescent="0.15">
      <c r="C62" s="65"/>
      <c r="E62" s="62"/>
      <c r="F62" s="68"/>
    </row>
    <row r="63" spans="1:22" ht="22.5" customHeight="1" x14ac:dyDescent="0.15">
      <c r="E63" s="27"/>
      <c r="F63" s="23"/>
    </row>
  </sheetData>
  <autoFilter ref="A4:V59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0"/>
  <sheetViews>
    <sheetView topLeftCell="C1" workbookViewId="0">
      <pane xSplit="1" ySplit="1" topLeftCell="D23" activePane="bottomRight" state="frozen"/>
      <selection activeCell="C1" sqref="C1"/>
      <selection pane="topRight" activeCell="D1" sqref="D1"/>
      <selection pane="bottomLeft" activeCell="C2" sqref="C2"/>
      <selection pane="bottomRight" activeCell="F6" sqref="F6"/>
    </sheetView>
  </sheetViews>
  <sheetFormatPr defaultColWidth="8.42578125" defaultRowHeight="31.5" customHeight="1" outlineLevelCol="1" x14ac:dyDescent="0.15"/>
  <cols>
    <col min="1" max="1" width="14" style="18" hidden="1" customWidth="1" outlineLevel="1"/>
    <col min="2" max="2" width="16.140625" style="18" hidden="1" customWidth="1" outlineLevel="1"/>
    <col min="3" max="3" width="14.7109375" style="18" customWidth="1" collapsed="1"/>
    <col min="4" max="4" width="15.28515625" style="18" customWidth="1"/>
    <col min="5" max="5" width="12.5703125" style="24" customWidth="1"/>
    <col min="6" max="6" width="12.42578125" style="18" customWidth="1"/>
    <col min="7" max="7" width="8.42578125" style="18" customWidth="1"/>
    <col min="8" max="8" width="8.42578125" style="18" hidden="1" customWidth="1"/>
    <col min="9" max="9" width="8.42578125" style="18"/>
    <col min="10" max="10" width="10.42578125" style="18" customWidth="1"/>
    <col min="11" max="11" width="8.42578125" style="18"/>
    <col min="12" max="12" width="8.42578125" style="24"/>
    <col min="13" max="13" width="8.42578125" style="18"/>
    <col min="14" max="14" width="10.28515625" style="45" hidden="1" customWidth="1" outlineLevel="1"/>
    <col min="15" max="15" width="15.28515625" style="45" hidden="1" customWidth="1" outlineLevel="1"/>
    <col min="16" max="16" width="18" style="45" hidden="1" customWidth="1" outlineLevel="1"/>
    <col min="17" max="17" width="8.42578125" style="51" collapsed="1"/>
    <col min="18" max="19" width="8.42578125" style="18"/>
    <col min="20" max="20" width="15.28515625" style="18" customWidth="1" outlineLevel="1"/>
    <col min="21" max="21" width="14.7109375" style="29" customWidth="1" outlineLevel="1"/>
    <col min="22" max="22" width="14.7109375" style="18" customWidth="1" outlineLevel="1"/>
    <col min="23" max="16384" width="8.42578125" style="18"/>
  </cols>
  <sheetData>
    <row r="1" spans="1:22" s="44" customFormat="1" ht="59.25" customHeight="1" x14ac:dyDescent="0.15">
      <c r="A1" s="57" t="s">
        <v>0</v>
      </c>
      <c r="B1" s="57" t="s">
        <v>1</v>
      </c>
      <c r="C1" s="57" t="s">
        <v>2</v>
      </c>
      <c r="D1" s="35" t="s">
        <v>3</v>
      </c>
      <c r="E1" s="39" t="s">
        <v>107</v>
      </c>
      <c r="F1" s="57" t="s">
        <v>115</v>
      </c>
      <c r="G1" s="57" t="s">
        <v>117</v>
      </c>
      <c r="H1" s="36" t="s">
        <v>4</v>
      </c>
      <c r="I1" s="33" t="s">
        <v>118</v>
      </c>
      <c r="J1" s="34" t="s">
        <v>119</v>
      </c>
      <c r="K1" s="36" t="s">
        <v>108</v>
      </c>
      <c r="L1" s="40" t="s">
        <v>109</v>
      </c>
      <c r="M1" s="34" t="s">
        <v>120</v>
      </c>
      <c r="N1" s="46" t="s">
        <v>125</v>
      </c>
      <c r="O1" s="46" t="s">
        <v>124</v>
      </c>
      <c r="P1" s="50" t="s">
        <v>114</v>
      </c>
      <c r="Q1" s="52" t="s">
        <v>126</v>
      </c>
      <c r="R1" s="34" t="s">
        <v>110</v>
      </c>
      <c r="S1" s="34" t="s">
        <v>113</v>
      </c>
      <c r="T1" s="38" t="s">
        <v>111</v>
      </c>
      <c r="U1" s="37" t="s">
        <v>112</v>
      </c>
      <c r="V1" s="43" t="s">
        <v>123</v>
      </c>
    </row>
    <row r="2" spans="1:22" ht="31.5" customHeight="1" x14ac:dyDescent="0.15">
      <c r="A2" s="7" t="s">
        <v>31</v>
      </c>
      <c r="B2" s="7" t="s">
        <v>13</v>
      </c>
      <c r="C2" s="7" t="s">
        <v>9</v>
      </c>
      <c r="D2" s="9">
        <v>23</v>
      </c>
      <c r="E2" s="25">
        <v>38443</v>
      </c>
      <c r="F2" s="10">
        <v>41548</v>
      </c>
      <c r="G2" s="11">
        <f>DATEDIF(E2,F2,"m")</f>
        <v>102</v>
      </c>
      <c r="H2" s="19">
        <v>8</v>
      </c>
      <c r="I2" s="19">
        <f>G2*2.33</f>
        <v>237.66</v>
      </c>
      <c r="J2" s="20">
        <v>203</v>
      </c>
      <c r="K2" s="20">
        <v>224</v>
      </c>
      <c r="L2" s="28">
        <f>I2-J2</f>
        <v>34.659999999999997</v>
      </c>
      <c r="M2" s="21">
        <v>154</v>
      </c>
      <c r="N2" s="49">
        <v>39448</v>
      </c>
      <c r="O2" s="41">
        <f>DATEDIF(N2,F2,"m")</f>
        <v>69</v>
      </c>
      <c r="P2" s="41">
        <f>O2*2.33</f>
        <v>160.77000000000001</v>
      </c>
      <c r="Q2" s="53">
        <f t="shared" ref="Q2:Q55" si="0">O2*2.33</f>
        <v>160.77000000000001</v>
      </c>
      <c r="R2" s="20">
        <f>Q2-M2</f>
        <v>6.7700000000000102</v>
      </c>
      <c r="S2" s="42"/>
      <c r="T2" s="20">
        <v>18000</v>
      </c>
      <c r="U2" s="30">
        <f t="shared" ref="U2:U55" si="1">((T2*12)/365)*L2</f>
        <v>20511.123287671231</v>
      </c>
      <c r="V2" s="32">
        <f>((T2*12)/365)*R2</f>
        <v>4006.3561643835678</v>
      </c>
    </row>
    <row r="3" spans="1:22" ht="31.5" customHeight="1" x14ac:dyDescent="0.15">
      <c r="A3" s="7" t="s">
        <v>31</v>
      </c>
      <c r="B3" s="7" t="s">
        <v>46</v>
      </c>
      <c r="C3" s="7" t="s">
        <v>45</v>
      </c>
      <c r="D3" s="9">
        <v>106</v>
      </c>
      <c r="E3" s="25">
        <v>40513</v>
      </c>
      <c r="F3" s="10">
        <v>41548</v>
      </c>
      <c r="G3" s="11">
        <f t="shared" ref="G3:G55" si="2">DATEDIF(E3,F3,"m")</f>
        <v>34</v>
      </c>
      <c r="H3" s="19">
        <v>2.04</v>
      </c>
      <c r="I3" s="19">
        <f t="shared" ref="I3:I55" si="3">G3*2.33</f>
        <v>79.22</v>
      </c>
      <c r="J3" s="20">
        <v>84</v>
      </c>
      <c r="K3" s="20">
        <v>65.319999999999993</v>
      </c>
      <c r="L3" s="28">
        <f t="shared" ref="L3:L55" si="4">I3-J3</f>
        <v>-4.7800000000000011</v>
      </c>
      <c r="M3" s="20">
        <v>84</v>
      </c>
      <c r="N3" s="47">
        <f>E3</f>
        <v>40513</v>
      </c>
      <c r="O3" s="41">
        <f t="shared" ref="O3:O6" si="5">DATEDIF(N3,F3,"m")</f>
        <v>34</v>
      </c>
      <c r="P3" s="41">
        <f>O3*2.33</f>
        <v>79.22</v>
      </c>
      <c r="Q3" s="53">
        <f t="shared" si="0"/>
        <v>79.22</v>
      </c>
      <c r="R3" s="20">
        <f t="shared" ref="R3:R55" si="6">Q3-M3</f>
        <v>-4.7800000000000011</v>
      </c>
      <c r="S3" s="20">
        <f t="shared" ref="S3:S55" si="7">J3-M3</f>
        <v>0</v>
      </c>
      <c r="T3" s="20">
        <v>12000</v>
      </c>
      <c r="U3" s="30">
        <f t="shared" si="1"/>
        <v>-1885.8082191780825</v>
      </c>
      <c r="V3" s="32">
        <f t="shared" ref="V3:V55" si="8">((T3*12)/365)*R3</f>
        <v>-1885.8082191780825</v>
      </c>
    </row>
    <row r="4" spans="1:22" ht="34.5" customHeight="1" x14ac:dyDescent="0.15">
      <c r="A4" s="7" t="s">
        <v>31</v>
      </c>
      <c r="B4" s="7" t="s">
        <v>11</v>
      </c>
      <c r="C4" s="7" t="s">
        <v>16</v>
      </c>
      <c r="D4" s="9">
        <v>126</v>
      </c>
      <c r="E4" s="25">
        <v>40848</v>
      </c>
      <c r="F4" s="10">
        <v>41548</v>
      </c>
      <c r="G4" s="11">
        <f t="shared" si="2"/>
        <v>23</v>
      </c>
      <c r="H4" s="19">
        <v>1.05</v>
      </c>
      <c r="I4" s="19">
        <f t="shared" si="3"/>
        <v>53.59</v>
      </c>
      <c r="J4" s="20">
        <f>14+28</f>
        <v>42</v>
      </c>
      <c r="K4" s="20">
        <v>39.65</v>
      </c>
      <c r="L4" s="28">
        <f t="shared" si="4"/>
        <v>11.590000000000003</v>
      </c>
      <c r="M4" s="42"/>
      <c r="N4" s="42"/>
      <c r="O4" s="42"/>
      <c r="P4" s="42"/>
      <c r="Q4" s="42"/>
      <c r="R4" s="42"/>
      <c r="S4" s="42"/>
      <c r="T4" s="20">
        <v>13000</v>
      </c>
      <c r="U4" s="30">
        <f t="shared" si="1"/>
        <v>4953.5342465753438</v>
      </c>
      <c r="V4" s="32">
        <f t="shared" si="8"/>
        <v>0</v>
      </c>
    </row>
    <row r="5" spans="1:22" ht="31.5" customHeight="1" x14ac:dyDescent="0.15">
      <c r="A5" s="7" t="s">
        <v>31</v>
      </c>
      <c r="B5" s="7" t="s">
        <v>11</v>
      </c>
      <c r="C5" s="7" t="s">
        <v>12</v>
      </c>
      <c r="D5" s="9">
        <v>123</v>
      </c>
      <c r="E5" s="25">
        <v>40826</v>
      </c>
      <c r="F5" s="10">
        <v>41548</v>
      </c>
      <c r="G5" s="11">
        <f t="shared" si="2"/>
        <v>23</v>
      </c>
      <c r="H5" s="19">
        <v>1.05</v>
      </c>
      <c r="I5" s="19">
        <f t="shared" si="3"/>
        <v>53.59</v>
      </c>
      <c r="J5" s="20">
        <v>45</v>
      </c>
      <c r="K5" s="20">
        <v>39.65</v>
      </c>
      <c r="L5" s="28">
        <f t="shared" si="4"/>
        <v>8.5900000000000034</v>
      </c>
      <c r="M5" s="21">
        <v>45</v>
      </c>
      <c r="N5" s="47">
        <f t="shared" ref="N5:N9" si="9">E5</f>
        <v>40826</v>
      </c>
      <c r="O5" s="41">
        <f t="shared" si="5"/>
        <v>23</v>
      </c>
      <c r="P5" s="41">
        <f t="shared" ref="P5:P55" si="10">O5*2.33</f>
        <v>53.59</v>
      </c>
      <c r="Q5" s="53">
        <f t="shared" si="0"/>
        <v>53.59</v>
      </c>
      <c r="R5" s="20">
        <f t="shared" si="6"/>
        <v>8.5900000000000034</v>
      </c>
      <c r="S5" s="20">
        <f t="shared" si="7"/>
        <v>0</v>
      </c>
      <c r="T5" s="20">
        <v>13000</v>
      </c>
      <c r="U5" s="30">
        <f t="shared" si="1"/>
        <v>3671.342465753426</v>
      </c>
      <c r="V5" s="32">
        <f t="shared" si="8"/>
        <v>3671.342465753426</v>
      </c>
    </row>
    <row r="6" spans="1:22" ht="31.5" customHeight="1" x14ac:dyDescent="0.15">
      <c r="A6" s="7" t="s">
        <v>31</v>
      </c>
      <c r="B6" s="7" t="s">
        <v>11</v>
      </c>
      <c r="C6" s="7" t="s">
        <v>26</v>
      </c>
      <c r="D6" s="9">
        <v>134</v>
      </c>
      <c r="E6" s="25">
        <v>41031</v>
      </c>
      <c r="F6" s="10">
        <v>41548</v>
      </c>
      <c r="G6" s="11">
        <f t="shared" si="2"/>
        <v>16</v>
      </c>
      <c r="H6" s="19">
        <v>0.11</v>
      </c>
      <c r="I6" s="19">
        <f t="shared" si="3"/>
        <v>37.28</v>
      </c>
      <c r="J6" s="20">
        <v>28</v>
      </c>
      <c r="K6" s="20">
        <v>25.63</v>
      </c>
      <c r="L6" s="28">
        <f t="shared" si="4"/>
        <v>9.2800000000000011</v>
      </c>
      <c r="M6" s="21">
        <v>30</v>
      </c>
      <c r="N6" s="47">
        <f t="shared" si="9"/>
        <v>41031</v>
      </c>
      <c r="O6" s="41">
        <f t="shared" si="5"/>
        <v>16</v>
      </c>
      <c r="P6" s="41">
        <f t="shared" si="10"/>
        <v>37.28</v>
      </c>
      <c r="Q6" s="53">
        <f t="shared" si="0"/>
        <v>37.28</v>
      </c>
      <c r="R6" s="20">
        <f t="shared" si="6"/>
        <v>7.2800000000000011</v>
      </c>
      <c r="S6" s="20">
        <f t="shared" si="7"/>
        <v>-2</v>
      </c>
      <c r="T6" s="20">
        <v>13000</v>
      </c>
      <c r="U6" s="30">
        <f t="shared" si="1"/>
        <v>3966.2465753424663</v>
      </c>
      <c r="V6" s="32">
        <f t="shared" si="8"/>
        <v>3111.4520547945212</v>
      </c>
    </row>
    <row r="7" spans="1:22" ht="31.5" customHeight="1" x14ac:dyDescent="0.15">
      <c r="A7" s="7" t="s">
        <v>31</v>
      </c>
      <c r="B7" s="7" t="s">
        <v>11</v>
      </c>
      <c r="C7" s="7" t="s">
        <v>47</v>
      </c>
      <c r="D7" s="9">
        <v>130</v>
      </c>
      <c r="E7" s="25">
        <v>40969</v>
      </c>
      <c r="F7" s="10">
        <v>41548</v>
      </c>
      <c r="G7" s="11">
        <f t="shared" si="2"/>
        <v>19</v>
      </c>
      <c r="H7" s="19">
        <v>1</v>
      </c>
      <c r="I7" s="19">
        <f t="shared" si="3"/>
        <v>44.27</v>
      </c>
      <c r="J7" s="20">
        <v>28</v>
      </c>
      <c r="K7" s="20">
        <v>28</v>
      </c>
      <c r="L7" s="28">
        <f t="shared" si="4"/>
        <v>16.270000000000003</v>
      </c>
      <c r="M7" s="42"/>
      <c r="N7" s="42"/>
      <c r="O7" s="42"/>
      <c r="P7" s="42"/>
      <c r="Q7" s="42"/>
      <c r="R7" s="42"/>
      <c r="S7" s="42"/>
      <c r="T7" s="20">
        <v>13000</v>
      </c>
      <c r="U7" s="30">
        <f t="shared" si="1"/>
        <v>6953.753424657536</v>
      </c>
      <c r="V7" s="32">
        <f t="shared" si="8"/>
        <v>0</v>
      </c>
    </row>
    <row r="8" spans="1:22" ht="31.5" customHeight="1" x14ac:dyDescent="0.15">
      <c r="A8" s="7" t="s">
        <v>8</v>
      </c>
      <c r="B8" s="7" t="s">
        <v>14</v>
      </c>
      <c r="C8" s="7" t="s">
        <v>15</v>
      </c>
      <c r="D8" s="9">
        <v>8</v>
      </c>
      <c r="E8" s="25">
        <v>37259</v>
      </c>
      <c r="F8" s="10">
        <v>41548</v>
      </c>
      <c r="G8" s="11">
        <f t="shared" si="2"/>
        <v>140</v>
      </c>
      <c r="H8" s="19">
        <v>11.02</v>
      </c>
      <c r="I8" s="19">
        <f t="shared" si="3"/>
        <v>326.2</v>
      </c>
      <c r="J8" s="20">
        <f>197+15+2+5</f>
        <v>219</v>
      </c>
      <c r="K8" s="20">
        <v>312.66000000000003</v>
      </c>
      <c r="L8" s="28">
        <f t="shared" si="4"/>
        <v>107.19999999999999</v>
      </c>
      <c r="M8" s="21">
        <f>105+5</f>
        <v>110</v>
      </c>
      <c r="N8" s="49">
        <v>39448</v>
      </c>
      <c r="O8" s="41">
        <f>DATEDIF(N8,F8,"m")</f>
        <v>69</v>
      </c>
      <c r="P8" s="41">
        <f t="shared" si="10"/>
        <v>160.77000000000001</v>
      </c>
      <c r="Q8" s="53">
        <f t="shared" si="0"/>
        <v>160.77000000000001</v>
      </c>
      <c r="R8" s="20">
        <f t="shared" si="6"/>
        <v>50.77000000000001</v>
      </c>
      <c r="S8" s="42"/>
      <c r="T8" s="20">
        <v>28000</v>
      </c>
      <c r="U8" s="30">
        <f t="shared" si="1"/>
        <v>98682.739726027386</v>
      </c>
      <c r="V8" s="32">
        <f t="shared" si="8"/>
        <v>46736.219178082203</v>
      </c>
    </row>
    <row r="9" spans="1:22" ht="31.5" customHeight="1" x14ac:dyDescent="0.15">
      <c r="A9" s="7" t="s">
        <v>8</v>
      </c>
      <c r="B9" s="7" t="s">
        <v>10</v>
      </c>
      <c r="C9" s="8" t="s">
        <v>128</v>
      </c>
      <c r="D9" s="9">
        <v>140</v>
      </c>
      <c r="E9" s="25">
        <v>41143</v>
      </c>
      <c r="F9" s="10">
        <v>41548</v>
      </c>
      <c r="G9" s="11">
        <f t="shared" si="2"/>
        <v>13</v>
      </c>
      <c r="H9" s="19">
        <v>7.0000000000000007E-2</v>
      </c>
      <c r="I9" s="19">
        <f t="shared" si="3"/>
        <v>30.29</v>
      </c>
      <c r="J9" s="20">
        <f>21+1</f>
        <v>22</v>
      </c>
      <c r="K9" s="20">
        <v>16.309999999999999</v>
      </c>
      <c r="L9" s="28">
        <f t="shared" si="4"/>
        <v>8.2899999999999991</v>
      </c>
      <c r="M9" s="21">
        <v>21</v>
      </c>
      <c r="N9" s="47">
        <f t="shared" si="9"/>
        <v>41143</v>
      </c>
      <c r="O9" s="41">
        <f t="shared" ref="O9" si="11">DATEDIF(N9,F9,"m")</f>
        <v>13</v>
      </c>
      <c r="P9" s="41">
        <f t="shared" si="10"/>
        <v>30.29</v>
      </c>
      <c r="Q9" s="53">
        <f t="shared" si="0"/>
        <v>30.29</v>
      </c>
      <c r="R9" s="20">
        <f t="shared" si="6"/>
        <v>9.2899999999999991</v>
      </c>
      <c r="S9" s="20">
        <f t="shared" si="7"/>
        <v>1</v>
      </c>
      <c r="T9" s="20">
        <v>12000</v>
      </c>
      <c r="U9" s="30">
        <f t="shared" si="1"/>
        <v>3270.5753424657528</v>
      </c>
      <c r="V9" s="32">
        <f t="shared" si="8"/>
        <v>3665.0958904109584</v>
      </c>
    </row>
    <row r="10" spans="1:22" ht="31.5" customHeight="1" x14ac:dyDescent="0.15">
      <c r="A10" s="7" t="s">
        <v>32</v>
      </c>
      <c r="B10" s="7" t="s">
        <v>33</v>
      </c>
      <c r="C10" s="7" t="s">
        <v>17</v>
      </c>
      <c r="D10" s="9">
        <v>13</v>
      </c>
      <c r="E10" s="25">
        <v>37773</v>
      </c>
      <c r="F10" s="10">
        <v>41548</v>
      </c>
      <c r="G10" s="11">
        <f t="shared" si="2"/>
        <v>124</v>
      </c>
      <c r="H10" s="19">
        <v>9.1</v>
      </c>
      <c r="I10" s="19">
        <f t="shared" si="3"/>
        <v>288.92</v>
      </c>
      <c r="J10" s="20">
        <v>137</v>
      </c>
      <c r="K10" s="20">
        <v>275.3</v>
      </c>
      <c r="L10" s="28">
        <f t="shared" si="4"/>
        <v>151.92000000000002</v>
      </c>
      <c r="M10" s="21">
        <v>82</v>
      </c>
      <c r="N10" s="49">
        <v>39448</v>
      </c>
      <c r="O10" s="41">
        <f>DATEDIF(N10,F10,"m")</f>
        <v>69</v>
      </c>
      <c r="P10" s="41">
        <f t="shared" si="10"/>
        <v>160.77000000000001</v>
      </c>
      <c r="Q10" s="53">
        <f t="shared" si="0"/>
        <v>160.77000000000001</v>
      </c>
      <c r="R10" s="20">
        <f t="shared" si="6"/>
        <v>78.77000000000001</v>
      </c>
      <c r="S10" s="42"/>
      <c r="T10" s="20">
        <v>18000</v>
      </c>
      <c r="U10" s="30">
        <f t="shared" si="1"/>
        <v>89903.342465753434</v>
      </c>
      <c r="V10" s="32">
        <f t="shared" si="8"/>
        <v>46614.57534246576</v>
      </c>
    </row>
    <row r="11" spans="1:22" ht="31.5" customHeight="1" x14ac:dyDescent="0.15">
      <c r="A11" s="7" t="s">
        <v>32</v>
      </c>
      <c r="B11" s="7" t="s">
        <v>18</v>
      </c>
      <c r="C11" s="7" t="s">
        <v>53</v>
      </c>
      <c r="D11" s="9">
        <v>57</v>
      </c>
      <c r="E11" s="25">
        <v>39456</v>
      </c>
      <c r="F11" s="10">
        <v>41548</v>
      </c>
      <c r="G11" s="11">
        <f t="shared" si="2"/>
        <v>68</v>
      </c>
      <c r="H11" s="20">
        <v>5.0199999999999996</v>
      </c>
      <c r="I11" s="19">
        <f t="shared" si="3"/>
        <v>158.44</v>
      </c>
      <c r="J11" s="20">
        <v>114</v>
      </c>
      <c r="K11" s="20">
        <v>144.66</v>
      </c>
      <c r="L11" s="28">
        <f t="shared" si="4"/>
        <v>44.44</v>
      </c>
      <c r="M11" s="21">
        <v>57</v>
      </c>
      <c r="N11" s="49">
        <v>39448</v>
      </c>
      <c r="O11" s="41">
        <f>DATEDIF(E11,F11,"m")</f>
        <v>68</v>
      </c>
      <c r="P11" s="41">
        <f t="shared" si="10"/>
        <v>158.44</v>
      </c>
      <c r="Q11" s="53">
        <f t="shared" si="0"/>
        <v>158.44</v>
      </c>
      <c r="R11" s="20">
        <f t="shared" si="6"/>
        <v>101.44</v>
      </c>
      <c r="S11" s="20">
        <f t="shared" si="7"/>
        <v>57</v>
      </c>
      <c r="T11" s="20">
        <v>12000</v>
      </c>
      <c r="U11" s="30">
        <f t="shared" si="1"/>
        <v>17532.493150684932</v>
      </c>
      <c r="V11" s="32">
        <f t="shared" si="8"/>
        <v>40020.164383561641</v>
      </c>
    </row>
    <row r="12" spans="1:22" ht="31.5" customHeight="1" x14ac:dyDescent="0.15">
      <c r="A12" s="7" t="s">
        <v>32</v>
      </c>
      <c r="B12" s="7" t="s">
        <v>18</v>
      </c>
      <c r="C12" s="7" t="s">
        <v>54</v>
      </c>
      <c r="D12" s="9">
        <v>111</v>
      </c>
      <c r="E12" s="25">
        <v>40603</v>
      </c>
      <c r="F12" s="10">
        <v>41548</v>
      </c>
      <c r="G12" s="11">
        <f t="shared" si="2"/>
        <v>31</v>
      </c>
      <c r="H12" s="20">
        <v>2.0099999999999998</v>
      </c>
      <c r="I12" s="19">
        <f t="shared" si="3"/>
        <v>72.23</v>
      </c>
      <c r="J12" s="20">
        <v>70</v>
      </c>
      <c r="K12" s="20">
        <v>58.33</v>
      </c>
      <c r="L12" s="28">
        <f t="shared" si="4"/>
        <v>2.230000000000004</v>
      </c>
      <c r="M12" s="21">
        <v>70</v>
      </c>
      <c r="N12" s="47">
        <f t="shared" ref="N12" si="12">E12</f>
        <v>40603</v>
      </c>
      <c r="O12" s="41">
        <f t="shared" ref="O12" si="13">DATEDIF(N12,F12,"m")</f>
        <v>31</v>
      </c>
      <c r="P12" s="41">
        <f t="shared" si="10"/>
        <v>72.23</v>
      </c>
      <c r="Q12" s="53">
        <f t="shared" si="0"/>
        <v>72.23</v>
      </c>
      <c r="R12" s="20">
        <f t="shared" si="6"/>
        <v>2.230000000000004</v>
      </c>
      <c r="S12" s="20">
        <f t="shared" si="7"/>
        <v>0</v>
      </c>
      <c r="T12" s="20">
        <v>12000</v>
      </c>
      <c r="U12" s="30">
        <f t="shared" si="1"/>
        <v>879.7808219178097</v>
      </c>
      <c r="V12" s="32">
        <f t="shared" si="8"/>
        <v>879.7808219178097</v>
      </c>
    </row>
    <row r="13" spans="1:22" ht="31.5" customHeight="1" x14ac:dyDescent="0.15">
      <c r="A13" s="7" t="s">
        <v>32</v>
      </c>
      <c r="B13" s="7" t="s">
        <v>18</v>
      </c>
      <c r="C13" s="7" t="s">
        <v>55</v>
      </c>
      <c r="D13" s="9">
        <v>50</v>
      </c>
      <c r="E13" s="25">
        <v>39387</v>
      </c>
      <c r="F13" s="10">
        <v>41548</v>
      </c>
      <c r="G13" s="11">
        <f t="shared" si="2"/>
        <v>71</v>
      </c>
      <c r="H13" s="20">
        <v>5.05</v>
      </c>
      <c r="I13" s="19">
        <f t="shared" si="3"/>
        <v>165.43</v>
      </c>
      <c r="J13" s="20">
        <v>129</v>
      </c>
      <c r="K13" s="20">
        <v>151.65</v>
      </c>
      <c r="L13" s="28">
        <f t="shared" si="4"/>
        <v>36.430000000000007</v>
      </c>
      <c r="M13" s="21">
        <v>59</v>
      </c>
      <c r="N13" s="49">
        <v>39448</v>
      </c>
      <c r="O13" s="41">
        <f>DATEDIF(N13,F13,"m")</f>
        <v>69</v>
      </c>
      <c r="P13" s="41">
        <f t="shared" si="10"/>
        <v>160.77000000000001</v>
      </c>
      <c r="Q13" s="53">
        <f t="shared" si="0"/>
        <v>160.77000000000001</v>
      </c>
      <c r="R13" s="20">
        <f t="shared" si="6"/>
        <v>101.77000000000001</v>
      </c>
      <c r="S13" s="20">
        <f t="shared" si="7"/>
        <v>70</v>
      </c>
      <c r="T13" s="20">
        <v>12000</v>
      </c>
      <c r="U13" s="30">
        <f t="shared" si="1"/>
        <v>14372.383561643837</v>
      </c>
      <c r="V13" s="32">
        <f t="shared" si="8"/>
        <v>40150.356164383564</v>
      </c>
    </row>
    <row r="14" spans="1:22" ht="31.5" customHeight="1" x14ac:dyDescent="0.15">
      <c r="A14" s="7" t="s">
        <v>32</v>
      </c>
      <c r="B14" s="7" t="s">
        <v>18</v>
      </c>
      <c r="C14" s="7" t="s">
        <v>137</v>
      </c>
      <c r="D14" s="9">
        <v>156</v>
      </c>
      <c r="E14" s="25">
        <v>41344</v>
      </c>
      <c r="F14" s="10">
        <v>41548</v>
      </c>
      <c r="G14" s="11">
        <f t="shared" si="2"/>
        <v>6</v>
      </c>
      <c r="H14" s="19"/>
      <c r="I14" s="19">
        <f t="shared" si="3"/>
        <v>13.98</v>
      </c>
      <c r="J14" s="20">
        <f>1+1</f>
        <v>2</v>
      </c>
      <c r="K14" s="20"/>
      <c r="L14" s="28">
        <f t="shared" si="4"/>
        <v>11.98</v>
      </c>
      <c r="M14" s="21">
        <f>2+1</f>
        <v>3</v>
      </c>
      <c r="N14" s="25">
        <v>41344</v>
      </c>
      <c r="O14" s="41">
        <f>DATEDIF(N14,F14,"m")</f>
        <v>6</v>
      </c>
      <c r="P14" s="41">
        <f t="shared" si="10"/>
        <v>13.98</v>
      </c>
      <c r="Q14" s="53">
        <f t="shared" si="0"/>
        <v>13.98</v>
      </c>
      <c r="R14" s="20">
        <f t="shared" si="6"/>
        <v>10.98</v>
      </c>
      <c r="S14" s="20">
        <f t="shared" si="7"/>
        <v>-1</v>
      </c>
      <c r="T14" s="20">
        <v>12000</v>
      </c>
      <c r="U14" s="30">
        <f t="shared" si="1"/>
        <v>4726.3561643835619</v>
      </c>
      <c r="V14" s="32">
        <f t="shared" si="8"/>
        <v>4331.8356164383558</v>
      </c>
    </row>
    <row r="15" spans="1:22" ht="31.5" customHeight="1" x14ac:dyDescent="0.15">
      <c r="A15" s="7" t="s">
        <v>32</v>
      </c>
      <c r="B15" s="7" t="s">
        <v>18</v>
      </c>
      <c r="C15" s="12" t="s">
        <v>52</v>
      </c>
      <c r="D15" s="9">
        <v>141</v>
      </c>
      <c r="E15" s="25">
        <v>41155</v>
      </c>
      <c r="F15" s="10">
        <v>41548</v>
      </c>
      <c r="G15" s="11">
        <f t="shared" si="2"/>
        <v>12</v>
      </c>
      <c r="H15" s="20">
        <v>0.06</v>
      </c>
      <c r="I15" s="19">
        <f t="shared" si="3"/>
        <v>27.96</v>
      </c>
      <c r="J15" s="20">
        <v>35</v>
      </c>
      <c r="K15" s="20">
        <v>13.98</v>
      </c>
      <c r="L15" s="28">
        <f t="shared" si="4"/>
        <v>-7.0399999999999991</v>
      </c>
      <c r="M15" s="21">
        <v>35</v>
      </c>
      <c r="N15" s="47">
        <f t="shared" ref="N15" si="14">E15</f>
        <v>41155</v>
      </c>
      <c r="O15" s="41">
        <f t="shared" ref="O15" si="15">DATEDIF(N15,F15,"m")</f>
        <v>12</v>
      </c>
      <c r="P15" s="41">
        <f t="shared" si="10"/>
        <v>27.96</v>
      </c>
      <c r="Q15" s="53">
        <f t="shared" si="0"/>
        <v>27.96</v>
      </c>
      <c r="R15" s="20">
        <f t="shared" si="6"/>
        <v>-7.0399999999999991</v>
      </c>
      <c r="S15" s="20">
        <f t="shared" si="7"/>
        <v>0</v>
      </c>
      <c r="T15" s="20">
        <v>12000</v>
      </c>
      <c r="U15" s="30">
        <f t="shared" si="1"/>
        <v>-2777.4246575342463</v>
      </c>
      <c r="V15" s="32">
        <f t="shared" si="8"/>
        <v>-2777.4246575342463</v>
      </c>
    </row>
    <row r="16" spans="1:22" ht="31.5" customHeight="1" x14ac:dyDescent="0.15">
      <c r="A16" s="7" t="s">
        <v>34</v>
      </c>
      <c r="B16" s="7" t="s">
        <v>21</v>
      </c>
      <c r="C16" s="7" t="s">
        <v>20</v>
      </c>
      <c r="D16" s="9">
        <v>39</v>
      </c>
      <c r="E16" s="25">
        <v>39052</v>
      </c>
      <c r="F16" s="10">
        <v>41548</v>
      </c>
      <c r="G16" s="11">
        <f t="shared" si="2"/>
        <v>82</v>
      </c>
      <c r="H16" s="20">
        <v>6.04</v>
      </c>
      <c r="I16" s="19">
        <f t="shared" si="3"/>
        <v>191.06</v>
      </c>
      <c r="J16" s="20">
        <f>165+14</f>
        <v>179</v>
      </c>
      <c r="K16" s="20">
        <v>177.32</v>
      </c>
      <c r="L16" s="28">
        <f t="shared" si="4"/>
        <v>12.060000000000002</v>
      </c>
      <c r="M16" s="21">
        <f>119+14</f>
        <v>133</v>
      </c>
      <c r="N16" s="49">
        <v>39448</v>
      </c>
      <c r="O16" s="41">
        <f>DATEDIF(N16,F16,"m")</f>
        <v>69</v>
      </c>
      <c r="P16" s="41">
        <f t="shared" si="10"/>
        <v>160.77000000000001</v>
      </c>
      <c r="Q16" s="53">
        <f t="shared" si="0"/>
        <v>160.77000000000001</v>
      </c>
      <c r="R16" s="20">
        <f t="shared" si="6"/>
        <v>27.77000000000001</v>
      </c>
      <c r="S16" s="42"/>
      <c r="T16" s="20">
        <v>13000</v>
      </c>
      <c r="U16" s="30">
        <f t="shared" si="1"/>
        <v>5154.4109589041109</v>
      </c>
      <c r="V16" s="32">
        <f t="shared" si="8"/>
        <v>11868.821917808224</v>
      </c>
    </row>
    <row r="17" spans="1:22" ht="31.5" customHeight="1" x14ac:dyDescent="0.15">
      <c r="A17" s="7" t="s">
        <v>30</v>
      </c>
      <c r="B17" s="7" t="s">
        <v>22</v>
      </c>
      <c r="C17" s="7" t="s">
        <v>23</v>
      </c>
      <c r="D17" s="9">
        <v>19</v>
      </c>
      <c r="E17" s="25">
        <v>38166</v>
      </c>
      <c r="F17" s="10">
        <v>41548</v>
      </c>
      <c r="G17" s="11">
        <f t="shared" si="2"/>
        <v>111</v>
      </c>
      <c r="H17" s="20">
        <v>8.09</v>
      </c>
      <c r="I17" s="19">
        <f t="shared" si="3"/>
        <v>258.63</v>
      </c>
      <c r="J17" s="20">
        <f>110+15</f>
        <v>125</v>
      </c>
      <c r="K17" s="20">
        <v>244.97</v>
      </c>
      <c r="L17" s="28">
        <f t="shared" si="4"/>
        <v>133.63</v>
      </c>
      <c r="M17" s="21">
        <v>71</v>
      </c>
      <c r="N17" s="49">
        <v>39448</v>
      </c>
      <c r="O17" s="41">
        <f>DATEDIF(N17,F17,"m")</f>
        <v>69</v>
      </c>
      <c r="P17" s="41">
        <f t="shared" si="10"/>
        <v>160.77000000000001</v>
      </c>
      <c r="Q17" s="53">
        <f t="shared" si="0"/>
        <v>160.77000000000001</v>
      </c>
      <c r="R17" s="20">
        <f t="shared" si="6"/>
        <v>89.77000000000001</v>
      </c>
      <c r="S17" s="42"/>
      <c r="T17" s="20">
        <v>24000</v>
      </c>
      <c r="U17" s="30">
        <f t="shared" si="1"/>
        <v>105439.56164383561</v>
      </c>
      <c r="V17" s="32">
        <f t="shared" si="8"/>
        <v>70832.219178082203</v>
      </c>
    </row>
    <row r="18" spans="1:22" ht="31.5" customHeight="1" x14ac:dyDescent="0.15">
      <c r="A18" s="7" t="s">
        <v>30</v>
      </c>
      <c r="B18" s="7" t="s">
        <v>24</v>
      </c>
      <c r="C18" s="7" t="s">
        <v>25</v>
      </c>
      <c r="D18" s="9">
        <v>113</v>
      </c>
      <c r="E18" s="25">
        <v>40623</v>
      </c>
      <c r="F18" s="10">
        <v>41548</v>
      </c>
      <c r="G18" s="11">
        <f t="shared" si="2"/>
        <v>30</v>
      </c>
      <c r="H18" s="19">
        <v>2</v>
      </c>
      <c r="I18" s="19">
        <f t="shared" si="3"/>
        <v>69.900000000000006</v>
      </c>
      <c r="J18" s="20">
        <v>64</v>
      </c>
      <c r="K18" s="20">
        <v>56</v>
      </c>
      <c r="L18" s="28">
        <f t="shared" si="4"/>
        <v>5.9000000000000057</v>
      </c>
      <c r="M18" s="21">
        <v>60</v>
      </c>
      <c r="N18" s="47">
        <f t="shared" ref="N18:N19" si="16">E18</f>
        <v>40623</v>
      </c>
      <c r="O18" s="41">
        <f t="shared" ref="O18:O19" si="17">DATEDIF(N18,F18,"m")</f>
        <v>30</v>
      </c>
      <c r="P18" s="41">
        <f t="shared" si="10"/>
        <v>69.900000000000006</v>
      </c>
      <c r="Q18" s="53">
        <f t="shared" si="0"/>
        <v>69.900000000000006</v>
      </c>
      <c r="R18" s="20">
        <f t="shared" si="6"/>
        <v>9.9000000000000057</v>
      </c>
      <c r="S18" s="20">
        <f t="shared" si="7"/>
        <v>4</v>
      </c>
      <c r="T18" s="20">
        <v>13000</v>
      </c>
      <c r="U18" s="30">
        <f t="shared" si="1"/>
        <v>2521.6438356164408</v>
      </c>
      <c r="V18" s="32">
        <f t="shared" si="8"/>
        <v>4231.2328767123317</v>
      </c>
    </row>
    <row r="19" spans="1:22" ht="31.5" customHeight="1" x14ac:dyDescent="0.15">
      <c r="A19" s="7" t="s">
        <v>30</v>
      </c>
      <c r="B19" s="7" t="s">
        <v>24</v>
      </c>
      <c r="C19" s="7" t="s">
        <v>57</v>
      </c>
      <c r="D19" s="9">
        <v>154</v>
      </c>
      <c r="E19" s="25">
        <v>41309</v>
      </c>
      <c r="F19" s="10">
        <v>41548</v>
      </c>
      <c r="G19" s="11">
        <f t="shared" si="2"/>
        <v>7</v>
      </c>
      <c r="H19" s="20">
        <v>0.01</v>
      </c>
      <c r="I19" s="19">
        <f t="shared" si="3"/>
        <v>16.310000000000002</v>
      </c>
      <c r="J19" s="20">
        <f>1+7</f>
        <v>8</v>
      </c>
      <c r="K19" s="20">
        <v>0</v>
      </c>
      <c r="L19" s="28">
        <f t="shared" si="4"/>
        <v>8.3100000000000023</v>
      </c>
      <c r="M19" s="21">
        <f>1+7</f>
        <v>8</v>
      </c>
      <c r="N19" s="47">
        <f t="shared" si="16"/>
        <v>41309</v>
      </c>
      <c r="O19" s="41">
        <f t="shared" si="17"/>
        <v>7</v>
      </c>
      <c r="P19" s="41">
        <f t="shared" si="10"/>
        <v>16.310000000000002</v>
      </c>
      <c r="Q19" s="53">
        <f t="shared" si="0"/>
        <v>16.310000000000002</v>
      </c>
      <c r="R19" s="20">
        <f t="shared" si="6"/>
        <v>8.3100000000000023</v>
      </c>
      <c r="S19" s="20">
        <f t="shared" si="7"/>
        <v>0</v>
      </c>
      <c r="T19" s="20">
        <v>13000</v>
      </c>
      <c r="U19" s="30">
        <f t="shared" si="1"/>
        <v>3551.6712328767135</v>
      </c>
      <c r="V19" s="32">
        <f t="shared" si="8"/>
        <v>3551.6712328767135</v>
      </c>
    </row>
    <row r="20" spans="1:22" ht="31.5" customHeight="1" x14ac:dyDescent="0.15">
      <c r="A20" s="7" t="s">
        <v>30</v>
      </c>
      <c r="B20" s="7" t="s">
        <v>24</v>
      </c>
      <c r="C20" s="7" t="s">
        <v>29</v>
      </c>
      <c r="D20" s="9">
        <v>53</v>
      </c>
      <c r="E20" s="25">
        <v>39419</v>
      </c>
      <c r="F20" s="10">
        <v>41609</v>
      </c>
      <c r="G20" s="11">
        <f t="shared" si="2"/>
        <v>71</v>
      </c>
      <c r="H20" s="20">
        <v>5.03</v>
      </c>
      <c r="I20" s="19">
        <f t="shared" si="3"/>
        <v>165.43</v>
      </c>
      <c r="J20" s="20">
        <v>159</v>
      </c>
      <c r="K20" s="20">
        <v>146.99</v>
      </c>
      <c r="L20" s="28">
        <f t="shared" si="4"/>
        <v>6.4300000000000068</v>
      </c>
      <c r="M20" s="21">
        <v>161</v>
      </c>
      <c r="N20" s="49">
        <v>39448</v>
      </c>
      <c r="O20" s="41">
        <f>DATEDIF(N20,F20,"m")</f>
        <v>71</v>
      </c>
      <c r="P20" s="41">
        <f>O20*2.33</f>
        <v>165.43</v>
      </c>
      <c r="Q20" s="53">
        <f t="shared" si="0"/>
        <v>165.43</v>
      </c>
      <c r="R20" s="20">
        <f t="shared" si="6"/>
        <v>4.4300000000000068</v>
      </c>
      <c r="S20" s="20">
        <f t="shared" si="7"/>
        <v>-2</v>
      </c>
      <c r="T20" s="20">
        <v>13000</v>
      </c>
      <c r="U20" s="30">
        <f t="shared" si="1"/>
        <v>2748.1643835616469</v>
      </c>
      <c r="V20" s="32">
        <f t="shared" si="8"/>
        <v>1893.3698630137017</v>
      </c>
    </row>
    <row r="21" spans="1:22" ht="0.75" customHeight="1" x14ac:dyDescent="0.15">
      <c r="A21" s="7" t="s">
        <v>35</v>
      </c>
      <c r="B21" s="7" t="s">
        <v>127</v>
      </c>
      <c r="C21" s="7"/>
      <c r="D21" s="9"/>
      <c r="E21" s="25"/>
      <c r="F21" s="10"/>
      <c r="G21" s="11"/>
      <c r="H21" s="20"/>
      <c r="I21" s="19"/>
      <c r="J21" s="20"/>
      <c r="K21" s="20"/>
      <c r="L21" s="28"/>
      <c r="M21" s="20"/>
      <c r="N21" s="47"/>
      <c r="O21" s="41"/>
      <c r="P21" s="41"/>
      <c r="Q21" s="53"/>
      <c r="R21" s="20"/>
      <c r="S21" s="20">
        <f t="shared" si="7"/>
        <v>0</v>
      </c>
      <c r="T21" s="20"/>
      <c r="U21" s="30"/>
      <c r="V21" s="32"/>
    </row>
    <row r="22" spans="1:22" ht="31.5" customHeight="1" x14ac:dyDescent="0.15">
      <c r="A22" s="7" t="s">
        <v>35</v>
      </c>
      <c r="B22" s="7" t="s">
        <v>27</v>
      </c>
      <c r="C22" s="7" t="s">
        <v>36</v>
      </c>
      <c r="D22" s="9">
        <v>114</v>
      </c>
      <c r="E22" s="25">
        <v>40639</v>
      </c>
      <c r="F22" s="10">
        <v>41548</v>
      </c>
      <c r="G22" s="11">
        <f t="shared" si="2"/>
        <v>29</v>
      </c>
      <c r="H22" s="20">
        <v>1.1100000000000001</v>
      </c>
      <c r="I22" s="19">
        <f t="shared" si="3"/>
        <v>67.570000000000007</v>
      </c>
      <c r="J22" s="20">
        <f>59+7</f>
        <v>66</v>
      </c>
      <c r="K22" s="20">
        <v>53.63</v>
      </c>
      <c r="L22" s="28">
        <f t="shared" si="4"/>
        <v>1.5700000000000074</v>
      </c>
      <c r="M22" s="20">
        <f>43+14+7</f>
        <v>64</v>
      </c>
      <c r="N22" s="47">
        <f t="shared" ref="N22:N26" si="18">E22</f>
        <v>40639</v>
      </c>
      <c r="O22" s="41">
        <f t="shared" ref="O22:O26" si="19">DATEDIF(N22,F22,"m")</f>
        <v>29</v>
      </c>
      <c r="P22" s="41">
        <f>O22*2.33</f>
        <v>67.570000000000007</v>
      </c>
      <c r="Q22" s="53">
        <f t="shared" si="0"/>
        <v>67.570000000000007</v>
      </c>
      <c r="R22" s="20">
        <f t="shared" si="6"/>
        <v>3.5700000000000074</v>
      </c>
      <c r="S22" s="20">
        <f t="shared" si="7"/>
        <v>2</v>
      </c>
      <c r="T22" s="20">
        <v>14000</v>
      </c>
      <c r="U22" s="30">
        <f t="shared" si="1"/>
        <v>722.63013698630471</v>
      </c>
      <c r="V22" s="32">
        <f t="shared" si="8"/>
        <v>1643.1780821917841</v>
      </c>
    </row>
    <row r="23" spans="1:22" ht="31.5" customHeight="1" x14ac:dyDescent="0.15">
      <c r="A23" s="13" t="s">
        <v>37</v>
      </c>
      <c r="B23" s="7" t="s">
        <v>38</v>
      </c>
      <c r="C23" s="7" t="s">
        <v>39</v>
      </c>
      <c r="D23" s="9">
        <v>13</v>
      </c>
      <c r="E23" s="25">
        <v>40269</v>
      </c>
      <c r="F23" s="10">
        <v>41548</v>
      </c>
      <c r="G23" s="11">
        <f t="shared" si="2"/>
        <v>42</v>
      </c>
      <c r="H23" s="19">
        <v>3</v>
      </c>
      <c r="I23" s="19">
        <f t="shared" si="3"/>
        <v>97.86</v>
      </c>
      <c r="J23" s="20">
        <v>45</v>
      </c>
      <c r="K23" s="20">
        <v>84</v>
      </c>
      <c r="L23" s="28">
        <f t="shared" si="4"/>
        <v>52.86</v>
      </c>
      <c r="M23" s="20">
        <v>105</v>
      </c>
      <c r="N23" s="47">
        <f t="shared" si="18"/>
        <v>40269</v>
      </c>
      <c r="O23" s="41">
        <f t="shared" si="19"/>
        <v>42</v>
      </c>
      <c r="P23" s="41">
        <f t="shared" si="10"/>
        <v>97.86</v>
      </c>
      <c r="Q23" s="53">
        <f t="shared" si="0"/>
        <v>97.86</v>
      </c>
      <c r="R23" s="20">
        <f t="shared" si="6"/>
        <v>-7.1400000000000006</v>
      </c>
      <c r="S23" s="20">
        <f t="shared" si="7"/>
        <v>-60</v>
      </c>
      <c r="T23" s="20">
        <v>12000</v>
      </c>
      <c r="U23" s="30">
        <f t="shared" si="1"/>
        <v>20854.35616438356</v>
      </c>
      <c r="V23" s="32">
        <f t="shared" si="8"/>
        <v>-2816.8767123287671</v>
      </c>
    </row>
    <row r="24" spans="1:22" ht="31.5" customHeight="1" x14ac:dyDescent="0.15">
      <c r="A24" s="13" t="s">
        <v>37</v>
      </c>
      <c r="B24" s="7" t="s">
        <v>121</v>
      </c>
      <c r="C24" s="7" t="s">
        <v>40</v>
      </c>
      <c r="D24" s="9">
        <v>93</v>
      </c>
      <c r="E24" s="25">
        <v>40269</v>
      </c>
      <c r="F24" s="10">
        <v>41548</v>
      </c>
      <c r="G24" s="11">
        <f t="shared" si="2"/>
        <v>42</v>
      </c>
      <c r="H24" s="19">
        <v>3</v>
      </c>
      <c r="I24" s="19">
        <f t="shared" si="3"/>
        <v>97.86</v>
      </c>
      <c r="J24" s="20">
        <v>90</v>
      </c>
      <c r="K24" s="20">
        <v>84</v>
      </c>
      <c r="L24" s="28">
        <f t="shared" si="4"/>
        <v>7.8599999999999994</v>
      </c>
      <c r="M24" s="20">
        <v>92</v>
      </c>
      <c r="N24" s="47">
        <f t="shared" si="18"/>
        <v>40269</v>
      </c>
      <c r="O24" s="41">
        <f t="shared" si="19"/>
        <v>42</v>
      </c>
      <c r="P24" s="41">
        <f t="shared" si="10"/>
        <v>97.86</v>
      </c>
      <c r="Q24" s="53">
        <f t="shared" si="0"/>
        <v>97.86</v>
      </c>
      <c r="R24" s="20">
        <f t="shared" si="6"/>
        <v>5.8599999999999994</v>
      </c>
      <c r="S24" s="20">
        <f t="shared" si="7"/>
        <v>-2</v>
      </c>
      <c r="T24" s="20">
        <v>13000</v>
      </c>
      <c r="U24" s="30">
        <f t="shared" si="1"/>
        <v>3359.3424657534247</v>
      </c>
      <c r="V24" s="32">
        <f t="shared" si="8"/>
        <v>2504.5479452054792</v>
      </c>
    </row>
    <row r="25" spans="1:22" ht="31.5" customHeight="1" x14ac:dyDescent="0.15">
      <c r="A25" s="13" t="s">
        <v>37</v>
      </c>
      <c r="B25" s="7" t="s">
        <v>121</v>
      </c>
      <c r="C25" s="7" t="s">
        <v>41</v>
      </c>
      <c r="D25" s="9">
        <v>116</v>
      </c>
      <c r="E25" s="25">
        <v>40695</v>
      </c>
      <c r="F25" s="10">
        <v>41548</v>
      </c>
      <c r="G25" s="11">
        <f t="shared" si="2"/>
        <v>28</v>
      </c>
      <c r="H25" s="19">
        <v>1.1000000000000001</v>
      </c>
      <c r="I25" s="19">
        <f t="shared" si="3"/>
        <v>65.240000000000009</v>
      </c>
      <c r="J25" s="20">
        <v>56</v>
      </c>
      <c r="K25" s="20">
        <v>51.3</v>
      </c>
      <c r="L25" s="28">
        <f t="shared" si="4"/>
        <v>9.2400000000000091</v>
      </c>
      <c r="M25" s="20">
        <v>57</v>
      </c>
      <c r="N25" s="47">
        <f t="shared" si="18"/>
        <v>40695</v>
      </c>
      <c r="O25" s="41">
        <f t="shared" si="19"/>
        <v>28</v>
      </c>
      <c r="P25" s="41">
        <f t="shared" si="10"/>
        <v>65.240000000000009</v>
      </c>
      <c r="Q25" s="53">
        <f t="shared" si="0"/>
        <v>65.240000000000009</v>
      </c>
      <c r="R25" s="20">
        <f t="shared" si="6"/>
        <v>8.2400000000000091</v>
      </c>
      <c r="S25" s="20">
        <f t="shared" si="7"/>
        <v>-1</v>
      </c>
      <c r="T25" s="20">
        <v>13000</v>
      </c>
      <c r="U25" s="30">
        <f t="shared" si="1"/>
        <v>3949.150684931511</v>
      </c>
      <c r="V25" s="32">
        <f t="shared" si="8"/>
        <v>3521.7534246575383</v>
      </c>
    </row>
    <row r="26" spans="1:22" ht="31.5" customHeight="1" x14ac:dyDescent="0.15">
      <c r="A26" s="13" t="s">
        <v>37</v>
      </c>
      <c r="B26" s="7" t="s">
        <v>11</v>
      </c>
      <c r="C26" s="7" t="s">
        <v>42</v>
      </c>
      <c r="D26" s="9">
        <v>143</v>
      </c>
      <c r="E26" s="25">
        <v>41157</v>
      </c>
      <c r="F26" s="10">
        <v>41548</v>
      </c>
      <c r="G26" s="11">
        <f t="shared" si="2"/>
        <v>12</v>
      </c>
      <c r="H26" s="20">
        <v>0.06</v>
      </c>
      <c r="I26" s="19">
        <f t="shared" si="3"/>
        <v>27.96</v>
      </c>
      <c r="J26" s="20">
        <f>5+14</f>
        <v>19</v>
      </c>
      <c r="K26" s="20">
        <v>13.98</v>
      </c>
      <c r="L26" s="28">
        <f t="shared" si="4"/>
        <v>8.9600000000000009</v>
      </c>
      <c r="M26" s="20">
        <f>5+14</f>
        <v>19</v>
      </c>
      <c r="N26" s="47">
        <f t="shared" si="18"/>
        <v>41157</v>
      </c>
      <c r="O26" s="41">
        <f t="shared" si="19"/>
        <v>12</v>
      </c>
      <c r="P26" s="41">
        <f t="shared" si="10"/>
        <v>27.96</v>
      </c>
      <c r="Q26" s="53">
        <f t="shared" si="0"/>
        <v>27.96</v>
      </c>
      <c r="R26" s="20">
        <f t="shared" si="6"/>
        <v>8.9600000000000009</v>
      </c>
      <c r="S26" s="20">
        <f t="shared" si="7"/>
        <v>0</v>
      </c>
      <c r="T26" s="20">
        <v>13000</v>
      </c>
      <c r="U26" s="30">
        <f t="shared" si="1"/>
        <v>3829.4794520547948</v>
      </c>
      <c r="V26" s="32">
        <f t="shared" si="8"/>
        <v>3829.4794520547948</v>
      </c>
    </row>
    <row r="27" spans="1:22" ht="31.5" customHeight="1" x14ac:dyDescent="0.15">
      <c r="A27" s="13" t="s">
        <v>37</v>
      </c>
      <c r="B27" s="7" t="s">
        <v>13</v>
      </c>
      <c r="C27" s="7" t="s">
        <v>43</v>
      </c>
      <c r="D27" s="9">
        <v>25</v>
      </c>
      <c r="E27" s="25">
        <v>38534</v>
      </c>
      <c r="F27" s="10">
        <v>41548</v>
      </c>
      <c r="G27" s="11">
        <f t="shared" si="2"/>
        <v>99</v>
      </c>
      <c r="H27" s="20">
        <v>7.09</v>
      </c>
      <c r="I27" s="19">
        <f t="shared" si="3"/>
        <v>230.67000000000002</v>
      </c>
      <c r="J27" s="20">
        <f>180+14</f>
        <v>194</v>
      </c>
      <c r="K27" s="20">
        <v>216.97</v>
      </c>
      <c r="L27" s="28">
        <f t="shared" si="4"/>
        <v>36.670000000000016</v>
      </c>
      <c r="M27" s="20">
        <f>154+14</f>
        <v>168</v>
      </c>
      <c r="N27" s="49">
        <v>39448</v>
      </c>
      <c r="O27" s="41">
        <f>DATEDIF(N27,F27,"m")</f>
        <v>69</v>
      </c>
      <c r="P27" s="41">
        <f>O27*2.33</f>
        <v>160.77000000000001</v>
      </c>
      <c r="Q27" s="53">
        <f t="shared" si="0"/>
        <v>160.77000000000001</v>
      </c>
      <c r="R27" s="20">
        <f t="shared" si="6"/>
        <v>-7.2299999999999898</v>
      </c>
      <c r="S27" s="42"/>
      <c r="T27" s="20">
        <v>18000</v>
      </c>
      <c r="U27" s="30">
        <f t="shared" si="1"/>
        <v>21700.602739726037</v>
      </c>
      <c r="V27" s="32">
        <f t="shared" si="8"/>
        <v>-4278.5753424657478</v>
      </c>
    </row>
    <row r="28" spans="1:22" ht="31.5" customHeight="1" x14ac:dyDescent="0.15">
      <c r="A28" s="13" t="s">
        <v>37</v>
      </c>
      <c r="B28" s="7" t="s">
        <v>121</v>
      </c>
      <c r="C28" s="7" t="s">
        <v>44</v>
      </c>
      <c r="D28" s="9">
        <v>117</v>
      </c>
      <c r="E28" s="25">
        <v>40695</v>
      </c>
      <c r="F28" s="10">
        <v>41548</v>
      </c>
      <c r="G28" s="11">
        <f t="shared" si="2"/>
        <v>28</v>
      </c>
      <c r="H28" s="19">
        <v>1.1000000000000001</v>
      </c>
      <c r="I28" s="19">
        <f t="shared" si="3"/>
        <v>65.240000000000009</v>
      </c>
      <c r="J28" s="20">
        <v>53</v>
      </c>
      <c r="K28" s="20">
        <v>51.3</v>
      </c>
      <c r="L28" s="28">
        <f t="shared" si="4"/>
        <v>12.240000000000009</v>
      </c>
      <c r="M28" s="20">
        <v>53</v>
      </c>
      <c r="N28" s="47">
        <f t="shared" ref="N28:N34" si="20">E28</f>
        <v>40695</v>
      </c>
      <c r="O28" s="41">
        <f t="shared" ref="O28:O34" si="21">DATEDIF(N28,F28,"m")</f>
        <v>28</v>
      </c>
      <c r="P28" s="41">
        <f t="shared" si="10"/>
        <v>65.240000000000009</v>
      </c>
      <c r="Q28" s="53">
        <f t="shared" si="0"/>
        <v>65.240000000000009</v>
      </c>
      <c r="R28" s="20">
        <f t="shared" si="6"/>
        <v>12.240000000000009</v>
      </c>
      <c r="S28" s="20">
        <f t="shared" si="7"/>
        <v>0</v>
      </c>
      <c r="T28" s="20">
        <v>13000</v>
      </c>
      <c r="U28" s="30">
        <f t="shared" si="1"/>
        <v>5231.3424657534288</v>
      </c>
      <c r="V28" s="32">
        <f t="shared" si="8"/>
        <v>5231.3424657534288</v>
      </c>
    </row>
    <row r="29" spans="1:22" ht="31.5" customHeight="1" x14ac:dyDescent="0.15">
      <c r="A29" s="13" t="s">
        <v>37</v>
      </c>
      <c r="B29" s="7" t="s">
        <v>11</v>
      </c>
      <c r="C29" s="13" t="s">
        <v>49</v>
      </c>
      <c r="D29" s="9">
        <v>149</v>
      </c>
      <c r="E29" s="25">
        <v>41260</v>
      </c>
      <c r="F29" s="10">
        <v>41548</v>
      </c>
      <c r="G29" s="11">
        <f t="shared" si="2"/>
        <v>9</v>
      </c>
      <c r="H29" s="20">
        <v>0.03</v>
      </c>
      <c r="I29" s="19">
        <f t="shared" si="3"/>
        <v>20.97</v>
      </c>
      <c r="J29" s="20">
        <v>0</v>
      </c>
      <c r="K29" s="20">
        <v>6.99</v>
      </c>
      <c r="L29" s="28">
        <f t="shared" si="4"/>
        <v>20.97</v>
      </c>
      <c r="M29" s="20">
        <v>9</v>
      </c>
      <c r="N29" s="47">
        <f t="shared" si="20"/>
        <v>41260</v>
      </c>
      <c r="O29" s="41">
        <f t="shared" si="21"/>
        <v>9</v>
      </c>
      <c r="P29" s="41">
        <f t="shared" si="10"/>
        <v>20.97</v>
      </c>
      <c r="Q29" s="53">
        <f t="shared" si="0"/>
        <v>20.97</v>
      </c>
      <c r="R29" s="20">
        <f t="shared" si="6"/>
        <v>11.969999999999999</v>
      </c>
      <c r="S29" s="20">
        <f t="shared" si="7"/>
        <v>-9</v>
      </c>
      <c r="T29" s="20">
        <v>13000</v>
      </c>
      <c r="U29" s="30">
        <f t="shared" si="1"/>
        <v>8962.5205479452052</v>
      </c>
      <c r="V29" s="32">
        <f t="shared" si="8"/>
        <v>5115.9452054794519</v>
      </c>
    </row>
    <row r="30" spans="1:22" ht="36.75" customHeight="1" x14ac:dyDescent="0.15">
      <c r="A30" s="13" t="s">
        <v>37</v>
      </c>
      <c r="B30" s="7" t="s">
        <v>122</v>
      </c>
      <c r="C30" s="13" t="s">
        <v>50</v>
      </c>
      <c r="D30" s="9">
        <v>153</v>
      </c>
      <c r="E30" s="25">
        <v>41306</v>
      </c>
      <c r="F30" s="10">
        <v>41548</v>
      </c>
      <c r="G30" s="11">
        <f t="shared" si="2"/>
        <v>8</v>
      </c>
      <c r="H30" s="20">
        <v>0.02</v>
      </c>
      <c r="I30" s="19">
        <f t="shared" si="3"/>
        <v>18.64</v>
      </c>
      <c r="J30" s="20">
        <v>14</v>
      </c>
      <c r="K30" s="20">
        <v>4.66</v>
      </c>
      <c r="L30" s="28">
        <f t="shared" si="4"/>
        <v>4.6400000000000006</v>
      </c>
      <c r="M30" s="20">
        <v>14</v>
      </c>
      <c r="N30" s="47">
        <f t="shared" si="20"/>
        <v>41306</v>
      </c>
      <c r="O30" s="41">
        <f t="shared" si="21"/>
        <v>8</v>
      </c>
      <c r="P30" s="41">
        <f t="shared" si="10"/>
        <v>18.64</v>
      </c>
      <c r="Q30" s="53">
        <f t="shared" si="0"/>
        <v>18.64</v>
      </c>
      <c r="R30" s="20">
        <f t="shared" si="6"/>
        <v>4.6400000000000006</v>
      </c>
      <c r="S30" s="20">
        <f t="shared" si="7"/>
        <v>0</v>
      </c>
      <c r="T30" s="20">
        <v>13000</v>
      </c>
      <c r="U30" s="30">
        <f t="shared" si="1"/>
        <v>1983.1232876712331</v>
      </c>
      <c r="V30" s="32">
        <f t="shared" si="8"/>
        <v>1983.1232876712331</v>
      </c>
    </row>
    <row r="31" spans="1:22" ht="31.5" customHeight="1" x14ac:dyDescent="0.15">
      <c r="A31" s="13" t="s">
        <v>37</v>
      </c>
      <c r="B31" s="7" t="s">
        <v>122</v>
      </c>
      <c r="C31" s="14"/>
      <c r="D31" s="9"/>
      <c r="E31" s="25"/>
      <c r="F31" s="10"/>
      <c r="G31" s="11"/>
      <c r="H31" s="20"/>
      <c r="I31" s="19"/>
      <c r="J31" s="20"/>
      <c r="K31" s="20"/>
      <c r="L31" s="28"/>
      <c r="M31" s="20"/>
      <c r="N31" s="47"/>
      <c r="O31" s="41"/>
      <c r="P31" s="41"/>
      <c r="Q31" s="53"/>
      <c r="R31" s="20"/>
      <c r="S31" s="20"/>
      <c r="T31" s="20"/>
      <c r="U31" s="30"/>
      <c r="V31" s="32"/>
    </row>
    <row r="32" spans="1:22" ht="31.5" customHeight="1" x14ac:dyDescent="0.15">
      <c r="A32" s="7" t="s">
        <v>59</v>
      </c>
      <c r="B32" s="7" t="s">
        <v>38</v>
      </c>
      <c r="C32" s="15"/>
      <c r="D32" s="16"/>
      <c r="E32" s="25"/>
      <c r="F32" s="10"/>
      <c r="G32" s="11"/>
      <c r="H32" s="20"/>
      <c r="I32" s="19"/>
      <c r="J32" s="20"/>
      <c r="K32" s="20"/>
      <c r="L32" s="28"/>
      <c r="M32" s="20"/>
      <c r="N32" s="47"/>
      <c r="O32" s="41"/>
      <c r="P32" s="41"/>
      <c r="Q32" s="53"/>
      <c r="R32" s="20"/>
      <c r="S32" s="20"/>
      <c r="T32" s="20"/>
      <c r="U32" s="30"/>
      <c r="V32" s="32"/>
    </row>
    <row r="33" spans="1:22" ht="31.5" customHeight="1" x14ac:dyDescent="0.15">
      <c r="A33" s="7" t="s">
        <v>59</v>
      </c>
      <c r="B33" s="7" t="s">
        <v>11</v>
      </c>
      <c r="C33" s="7" t="s">
        <v>60</v>
      </c>
      <c r="D33" s="9">
        <v>84</v>
      </c>
      <c r="E33" s="25">
        <v>40136</v>
      </c>
      <c r="F33" s="10">
        <v>41548</v>
      </c>
      <c r="G33" s="11">
        <f t="shared" si="2"/>
        <v>46</v>
      </c>
      <c r="H33" s="20">
        <v>3.04</v>
      </c>
      <c r="I33" s="19">
        <f t="shared" si="3"/>
        <v>107.18</v>
      </c>
      <c r="J33" s="20">
        <v>79</v>
      </c>
      <c r="K33" s="20">
        <v>93.32</v>
      </c>
      <c r="L33" s="28">
        <f t="shared" si="4"/>
        <v>28.180000000000007</v>
      </c>
      <c r="M33" s="20">
        <v>114</v>
      </c>
      <c r="N33" s="47">
        <f t="shared" si="20"/>
        <v>40136</v>
      </c>
      <c r="O33" s="41">
        <f t="shared" si="21"/>
        <v>46</v>
      </c>
      <c r="P33" s="41">
        <f t="shared" si="10"/>
        <v>107.18</v>
      </c>
      <c r="Q33" s="53">
        <f t="shared" si="0"/>
        <v>107.18</v>
      </c>
      <c r="R33" s="20">
        <f t="shared" si="6"/>
        <v>-6.8199999999999932</v>
      </c>
      <c r="S33" s="20">
        <f t="shared" si="7"/>
        <v>-35</v>
      </c>
      <c r="T33" s="20">
        <v>13000</v>
      </c>
      <c r="U33" s="30">
        <f t="shared" si="1"/>
        <v>12044.054794520551</v>
      </c>
      <c r="V33" s="32">
        <f t="shared" si="8"/>
        <v>-2914.8493150684903</v>
      </c>
    </row>
    <row r="34" spans="1:22" ht="31.5" customHeight="1" x14ac:dyDescent="0.15">
      <c r="A34" s="7" t="s">
        <v>59</v>
      </c>
      <c r="B34" s="7" t="s">
        <v>13</v>
      </c>
      <c r="C34" s="7" t="s">
        <v>61</v>
      </c>
      <c r="D34" s="9">
        <v>82</v>
      </c>
      <c r="E34" s="25">
        <v>40119</v>
      </c>
      <c r="F34" s="10">
        <v>41548</v>
      </c>
      <c r="G34" s="11">
        <f t="shared" si="2"/>
        <v>46</v>
      </c>
      <c r="H34" s="20">
        <v>3.05</v>
      </c>
      <c r="I34" s="19">
        <f t="shared" si="3"/>
        <v>107.18</v>
      </c>
      <c r="J34" s="20">
        <f>94+14</f>
        <v>108</v>
      </c>
      <c r="K34" s="20">
        <v>95.65</v>
      </c>
      <c r="L34" s="28">
        <f t="shared" si="4"/>
        <v>-0.81999999999999318</v>
      </c>
      <c r="M34" s="20">
        <f>90+14+10</f>
        <v>114</v>
      </c>
      <c r="N34" s="47">
        <f t="shared" si="20"/>
        <v>40119</v>
      </c>
      <c r="O34" s="41">
        <f t="shared" si="21"/>
        <v>46</v>
      </c>
      <c r="P34" s="41">
        <f t="shared" si="10"/>
        <v>107.18</v>
      </c>
      <c r="Q34" s="53">
        <f t="shared" si="0"/>
        <v>107.18</v>
      </c>
      <c r="R34" s="20">
        <f t="shared" si="6"/>
        <v>-6.8199999999999932</v>
      </c>
      <c r="S34" s="20">
        <f t="shared" si="7"/>
        <v>-6</v>
      </c>
      <c r="T34" s="20">
        <v>18000</v>
      </c>
      <c r="U34" s="30">
        <f t="shared" si="1"/>
        <v>-485.26027397259872</v>
      </c>
      <c r="V34" s="32">
        <f t="shared" si="8"/>
        <v>-4035.9452054794478</v>
      </c>
    </row>
    <row r="35" spans="1:22" ht="31.5" customHeight="1" x14ac:dyDescent="0.15">
      <c r="A35" s="7" t="s">
        <v>59</v>
      </c>
      <c r="B35" s="7" t="s">
        <v>27</v>
      </c>
      <c r="C35" s="7" t="s">
        <v>62</v>
      </c>
      <c r="D35" s="9">
        <v>18</v>
      </c>
      <c r="E35" s="25">
        <v>38215</v>
      </c>
      <c r="F35" s="10">
        <v>41548</v>
      </c>
      <c r="G35" s="11">
        <f t="shared" si="2"/>
        <v>109</v>
      </c>
      <c r="H35" s="20">
        <v>8.07</v>
      </c>
      <c r="I35" s="19">
        <f t="shared" si="3"/>
        <v>253.97</v>
      </c>
      <c r="J35" s="20">
        <v>209</v>
      </c>
      <c r="K35" s="20">
        <v>240.31</v>
      </c>
      <c r="L35" s="28">
        <f t="shared" si="4"/>
        <v>44.97</v>
      </c>
      <c r="M35" s="20">
        <v>147</v>
      </c>
      <c r="N35" s="49">
        <v>39448</v>
      </c>
      <c r="O35" s="41">
        <f>DATEDIF(N35,F35,"m")</f>
        <v>69</v>
      </c>
      <c r="P35" s="41">
        <f t="shared" si="10"/>
        <v>160.77000000000001</v>
      </c>
      <c r="Q35" s="53">
        <f t="shared" si="0"/>
        <v>160.77000000000001</v>
      </c>
      <c r="R35" s="20">
        <f t="shared" si="6"/>
        <v>13.77000000000001</v>
      </c>
      <c r="S35" s="42"/>
      <c r="T35" s="20">
        <v>14000</v>
      </c>
      <c r="U35" s="30">
        <f t="shared" si="1"/>
        <v>20698.520547945205</v>
      </c>
      <c r="V35" s="32">
        <f t="shared" si="8"/>
        <v>6337.972602739731</v>
      </c>
    </row>
    <row r="36" spans="1:22" ht="31.5" customHeight="1" x14ac:dyDescent="0.15">
      <c r="A36" s="7" t="s">
        <v>59</v>
      </c>
      <c r="B36" s="7" t="s">
        <v>11</v>
      </c>
      <c r="C36" s="7" t="s">
        <v>63</v>
      </c>
      <c r="D36" s="9">
        <v>104</v>
      </c>
      <c r="E36" s="25">
        <v>40469</v>
      </c>
      <c r="F36" s="10">
        <v>41548</v>
      </c>
      <c r="G36" s="11">
        <f t="shared" si="2"/>
        <v>35</v>
      </c>
      <c r="H36" s="20">
        <v>2.0499999999999998</v>
      </c>
      <c r="I36" s="19">
        <f t="shared" si="3"/>
        <v>81.55</v>
      </c>
      <c r="J36" s="20">
        <v>74</v>
      </c>
      <c r="K36" s="20">
        <v>67.650000000000006</v>
      </c>
      <c r="L36" s="28">
        <f t="shared" si="4"/>
        <v>7.5499999999999972</v>
      </c>
      <c r="M36" s="20">
        <v>74</v>
      </c>
      <c r="N36" s="47">
        <f t="shared" ref="N36:N37" si="22">E36</f>
        <v>40469</v>
      </c>
      <c r="O36" s="41">
        <f t="shared" ref="O36:O37" si="23">DATEDIF(N36,F36,"m")</f>
        <v>35</v>
      </c>
      <c r="P36" s="41">
        <f t="shared" si="10"/>
        <v>81.55</v>
      </c>
      <c r="Q36" s="53">
        <f t="shared" si="0"/>
        <v>81.55</v>
      </c>
      <c r="R36" s="20">
        <f t="shared" si="6"/>
        <v>7.5499999999999972</v>
      </c>
      <c r="S36" s="20">
        <f t="shared" si="7"/>
        <v>0</v>
      </c>
      <c r="T36" s="20">
        <v>13000</v>
      </c>
      <c r="U36" s="30">
        <f t="shared" si="1"/>
        <v>3226.8493150684922</v>
      </c>
      <c r="V36" s="32">
        <f t="shared" si="8"/>
        <v>3226.8493150684922</v>
      </c>
    </row>
    <row r="37" spans="1:22" ht="0.75" customHeight="1" x14ac:dyDescent="0.15">
      <c r="A37" s="7" t="s">
        <v>59</v>
      </c>
      <c r="B37" s="7" t="s">
        <v>122</v>
      </c>
      <c r="C37" s="7"/>
      <c r="D37" s="9"/>
      <c r="E37" s="25"/>
      <c r="F37" s="10"/>
      <c r="G37" s="11"/>
      <c r="H37" s="20"/>
      <c r="I37" s="19"/>
      <c r="J37" s="20"/>
      <c r="K37" s="20"/>
      <c r="L37" s="28"/>
      <c r="M37" s="20"/>
      <c r="N37" s="47">
        <f t="shared" si="22"/>
        <v>0</v>
      </c>
      <c r="O37" s="41">
        <f t="shared" si="23"/>
        <v>0</v>
      </c>
      <c r="P37" s="41">
        <f>O37*2.33</f>
        <v>0</v>
      </c>
      <c r="Q37" s="53"/>
      <c r="R37" s="20"/>
      <c r="S37" s="20">
        <f t="shared" si="7"/>
        <v>0</v>
      </c>
      <c r="T37" s="20">
        <v>13000</v>
      </c>
      <c r="U37" s="30">
        <f t="shared" si="1"/>
        <v>0</v>
      </c>
      <c r="V37" s="32">
        <f t="shared" si="8"/>
        <v>0</v>
      </c>
    </row>
    <row r="38" spans="1:22" ht="31.5" customHeight="1" x14ac:dyDescent="0.15">
      <c r="A38" s="7" t="s">
        <v>65</v>
      </c>
      <c r="B38" s="7" t="s">
        <v>66</v>
      </c>
      <c r="C38" s="7" t="s">
        <v>67</v>
      </c>
      <c r="D38" s="9">
        <v>31</v>
      </c>
      <c r="E38" s="25">
        <v>38727</v>
      </c>
      <c r="F38" s="10">
        <v>41548</v>
      </c>
      <c r="G38" s="11">
        <f t="shared" si="2"/>
        <v>92</v>
      </c>
      <c r="H38" s="20">
        <v>7.02</v>
      </c>
      <c r="I38" s="19">
        <f t="shared" si="3"/>
        <v>214.36</v>
      </c>
      <c r="J38" s="20">
        <v>178</v>
      </c>
      <c r="K38" s="20">
        <v>200.66</v>
      </c>
      <c r="L38" s="28">
        <f t="shared" si="4"/>
        <v>36.360000000000014</v>
      </c>
      <c r="M38" s="20">
        <v>125</v>
      </c>
      <c r="N38" s="49">
        <v>39448</v>
      </c>
      <c r="O38" s="41">
        <f>DATEDIF(N38,F38,"m")</f>
        <v>69</v>
      </c>
      <c r="P38" s="41">
        <f t="shared" si="10"/>
        <v>160.77000000000001</v>
      </c>
      <c r="Q38" s="53">
        <f t="shared" si="0"/>
        <v>160.77000000000001</v>
      </c>
      <c r="R38" s="20">
        <f t="shared" si="6"/>
        <v>35.77000000000001</v>
      </c>
      <c r="S38" s="42"/>
      <c r="T38" s="20">
        <v>18000</v>
      </c>
      <c r="U38" s="30">
        <f t="shared" si="1"/>
        <v>21517.150684931516</v>
      </c>
      <c r="V38" s="32">
        <f t="shared" si="8"/>
        <v>21168.000000000007</v>
      </c>
    </row>
    <row r="39" spans="1:22" ht="31.5" customHeight="1" x14ac:dyDescent="0.15">
      <c r="A39" s="7" t="s">
        <v>65</v>
      </c>
      <c r="B39" s="7" t="s">
        <v>68</v>
      </c>
      <c r="C39" s="7" t="s">
        <v>69</v>
      </c>
      <c r="D39" s="9">
        <v>127</v>
      </c>
      <c r="E39" s="25">
        <v>40918</v>
      </c>
      <c r="F39" s="10">
        <v>41548</v>
      </c>
      <c r="G39" s="11">
        <f t="shared" si="2"/>
        <v>20</v>
      </c>
      <c r="H39" s="20">
        <v>1.02</v>
      </c>
      <c r="I39" s="19">
        <f t="shared" si="3"/>
        <v>46.6</v>
      </c>
      <c r="J39" s="20">
        <f>42+5</f>
        <v>47</v>
      </c>
      <c r="K39" s="20">
        <v>32.659999999999997</v>
      </c>
      <c r="L39" s="28">
        <f t="shared" si="4"/>
        <v>-0.39999999999999858</v>
      </c>
      <c r="M39" s="20">
        <v>40</v>
      </c>
      <c r="N39" s="47">
        <f t="shared" ref="N39" si="24">E39</f>
        <v>40918</v>
      </c>
      <c r="O39" s="41">
        <f t="shared" ref="O39" si="25">DATEDIF(N39,F39,"m")</f>
        <v>20</v>
      </c>
      <c r="P39" s="41">
        <f t="shared" si="10"/>
        <v>46.6</v>
      </c>
      <c r="Q39" s="53">
        <f t="shared" si="0"/>
        <v>46.6</v>
      </c>
      <c r="R39" s="20">
        <f t="shared" si="6"/>
        <v>6.6000000000000014</v>
      </c>
      <c r="S39" s="20">
        <f t="shared" si="7"/>
        <v>7</v>
      </c>
      <c r="T39" s="20">
        <v>12000</v>
      </c>
      <c r="U39" s="30">
        <f t="shared" si="1"/>
        <v>-157.80821917808163</v>
      </c>
      <c r="V39" s="32">
        <f t="shared" si="8"/>
        <v>2603.8356164383567</v>
      </c>
    </row>
    <row r="40" spans="1:22" ht="40.5" customHeight="1" x14ac:dyDescent="0.15">
      <c r="A40" s="7" t="s">
        <v>65</v>
      </c>
      <c r="B40" s="7" t="s">
        <v>68</v>
      </c>
      <c r="C40" s="7" t="s">
        <v>70</v>
      </c>
      <c r="D40" s="9">
        <v>58</v>
      </c>
      <c r="E40" s="25">
        <v>39479</v>
      </c>
      <c r="F40" s="10">
        <v>41548</v>
      </c>
      <c r="G40" s="11">
        <f t="shared" si="2"/>
        <v>68</v>
      </c>
      <c r="H40" s="20">
        <v>5.0199999999999996</v>
      </c>
      <c r="I40" s="19">
        <f t="shared" si="3"/>
        <v>158.44</v>
      </c>
      <c r="J40" s="20">
        <f>153+14</f>
        <v>167</v>
      </c>
      <c r="K40" s="20">
        <v>144.66</v>
      </c>
      <c r="L40" s="28">
        <f t="shared" si="4"/>
        <v>-8.5600000000000023</v>
      </c>
      <c r="M40" s="20">
        <f>145+10+14</f>
        <v>169</v>
      </c>
      <c r="N40" s="49">
        <v>39448</v>
      </c>
      <c r="O40" s="41">
        <f>DATEDIF(E40,F40,"m")</f>
        <v>68</v>
      </c>
      <c r="P40" s="41">
        <f t="shared" si="10"/>
        <v>158.44</v>
      </c>
      <c r="Q40" s="53">
        <f t="shared" si="0"/>
        <v>158.44</v>
      </c>
      <c r="R40" s="20">
        <f t="shared" si="6"/>
        <v>-10.560000000000002</v>
      </c>
      <c r="S40" s="20">
        <f t="shared" si="7"/>
        <v>-2</v>
      </c>
      <c r="T40" s="20">
        <v>12000</v>
      </c>
      <c r="U40" s="30">
        <f t="shared" si="1"/>
        <v>-3377.0958904109598</v>
      </c>
      <c r="V40" s="32">
        <f t="shared" si="8"/>
        <v>-4166.1369863013706</v>
      </c>
    </row>
    <row r="41" spans="1:22" ht="31.5" customHeight="1" x14ac:dyDescent="0.15">
      <c r="A41" s="7" t="s">
        <v>65</v>
      </c>
      <c r="B41" s="7" t="s">
        <v>68</v>
      </c>
      <c r="C41" s="7" t="s">
        <v>71</v>
      </c>
      <c r="D41" s="9">
        <v>96</v>
      </c>
      <c r="E41" s="25">
        <v>40360</v>
      </c>
      <c r="F41" s="10">
        <v>41548</v>
      </c>
      <c r="G41" s="11">
        <f t="shared" si="2"/>
        <v>39</v>
      </c>
      <c r="H41" s="20">
        <v>2.09</v>
      </c>
      <c r="I41" s="19">
        <f t="shared" si="3"/>
        <v>90.87</v>
      </c>
      <c r="J41" s="20">
        <v>69</v>
      </c>
      <c r="K41" s="20">
        <v>76.97</v>
      </c>
      <c r="L41" s="28">
        <f t="shared" si="4"/>
        <v>21.870000000000005</v>
      </c>
      <c r="M41" s="20">
        <v>81</v>
      </c>
      <c r="N41" s="47">
        <f t="shared" ref="N41:N43" si="26">E41</f>
        <v>40360</v>
      </c>
      <c r="O41" s="41">
        <f t="shared" ref="O41:O43" si="27">DATEDIF(N41,F41,"m")</f>
        <v>39</v>
      </c>
      <c r="P41" s="41">
        <f t="shared" si="10"/>
        <v>90.87</v>
      </c>
      <c r="Q41" s="53">
        <f t="shared" si="0"/>
        <v>90.87</v>
      </c>
      <c r="R41" s="20">
        <f t="shared" si="6"/>
        <v>9.8700000000000045</v>
      </c>
      <c r="S41" s="20">
        <f t="shared" si="7"/>
        <v>-12</v>
      </c>
      <c r="T41" s="20">
        <v>12000</v>
      </c>
      <c r="U41" s="30">
        <f t="shared" si="1"/>
        <v>8628.1643835616451</v>
      </c>
      <c r="V41" s="32">
        <f t="shared" si="8"/>
        <v>3893.9178082191797</v>
      </c>
    </row>
    <row r="42" spans="1:22" ht="31.5" customHeight="1" x14ac:dyDescent="0.15">
      <c r="A42" s="7" t="s">
        <v>65</v>
      </c>
      <c r="B42" s="7" t="s">
        <v>68</v>
      </c>
      <c r="C42" s="7" t="s">
        <v>72</v>
      </c>
      <c r="D42" s="9">
        <v>133</v>
      </c>
      <c r="E42" s="25">
        <v>41001</v>
      </c>
      <c r="F42" s="10">
        <v>41548</v>
      </c>
      <c r="G42" s="11">
        <f t="shared" si="2"/>
        <v>17</v>
      </c>
      <c r="H42" s="19">
        <v>1</v>
      </c>
      <c r="I42" s="19">
        <f t="shared" si="3"/>
        <v>39.61</v>
      </c>
      <c r="J42" s="20">
        <v>25</v>
      </c>
      <c r="K42" s="20">
        <v>28</v>
      </c>
      <c r="L42" s="28">
        <f t="shared" si="4"/>
        <v>14.61</v>
      </c>
      <c r="M42" s="20">
        <v>31</v>
      </c>
      <c r="N42" s="47">
        <f t="shared" si="26"/>
        <v>41001</v>
      </c>
      <c r="O42" s="41">
        <f t="shared" si="27"/>
        <v>17</v>
      </c>
      <c r="P42" s="41">
        <f t="shared" si="10"/>
        <v>39.61</v>
      </c>
      <c r="Q42" s="53">
        <f t="shared" si="0"/>
        <v>39.61</v>
      </c>
      <c r="R42" s="20">
        <f t="shared" si="6"/>
        <v>8.61</v>
      </c>
      <c r="S42" s="20">
        <f t="shared" si="7"/>
        <v>-6</v>
      </c>
      <c r="T42" s="20">
        <v>12000</v>
      </c>
      <c r="U42" s="30">
        <f t="shared" si="1"/>
        <v>5763.9452054794519</v>
      </c>
      <c r="V42" s="32">
        <f t="shared" si="8"/>
        <v>3396.821917808219</v>
      </c>
    </row>
    <row r="43" spans="1:22" ht="31.5" customHeight="1" x14ac:dyDescent="0.15">
      <c r="A43" s="7" t="s">
        <v>65</v>
      </c>
      <c r="B43" s="7" t="s">
        <v>73</v>
      </c>
      <c r="C43" s="7" t="s">
        <v>74</v>
      </c>
      <c r="D43" s="9">
        <v>135</v>
      </c>
      <c r="E43" s="25">
        <v>41067</v>
      </c>
      <c r="F43" s="10">
        <v>41548</v>
      </c>
      <c r="G43" s="11">
        <f t="shared" si="2"/>
        <v>15</v>
      </c>
      <c r="H43" s="20">
        <v>0.09</v>
      </c>
      <c r="I43" s="19">
        <f t="shared" si="3"/>
        <v>34.950000000000003</v>
      </c>
      <c r="J43" s="20">
        <v>35</v>
      </c>
      <c r="K43" s="20">
        <v>20.97</v>
      </c>
      <c r="L43" s="28">
        <f t="shared" si="4"/>
        <v>-4.9999999999997158E-2</v>
      </c>
      <c r="M43" s="20">
        <v>42</v>
      </c>
      <c r="N43" s="47">
        <f t="shared" si="26"/>
        <v>41067</v>
      </c>
      <c r="O43" s="41">
        <f t="shared" si="27"/>
        <v>15</v>
      </c>
      <c r="P43" s="41">
        <f>O43*2.33</f>
        <v>34.950000000000003</v>
      </c>
      <c r="Q43" s="53">
        <f t="shared" si="0"/>
        <v>34.950000000000003</v>
      </c>
      <c r="R43" s="20">
        <f t="shared" si="6"/>
        <v>-7.0499999999999972</v>
      </c>
      <c r="S43" s="20">
        <f t="shared" si="7"/>
        <v>-7</v>
      </c>
      <c r="T43" s="20">
        <v>13000</v>
      </c>
      <c r="U43" s="30">
        <f t="shared" si="1"/>
        <v>-21.369863013697415</v>
      </c>
      <c r="V43" s="32">
        <f t="shared" si="8"/>
        <v>-3013.1506849315056</v>
      </c>
    </row>
    <row r="44" spans="1:22" ht="31.5" customHeight="1" x14ac:dyDescent="0.15">
      <c r="A44" s="7" t="s">
        <v>65</v>
      </c>
      <c r="B44" s="7" t="s">
        <v>75</v>
      </c>
      <c r="C44" s="7" t="s">
        <v>76</v>
      </c>
      <c r="D44" s="9">
        <v>43</v>
      </c>
      <c r="E44" s="25">
        <v>39234</v>
      </c>
      <c r="F44" s="10">
        <v>41548</v>
      </c>
      <c r="G44" s="11">
        <f t="shared" si="2"/>
        <v>76</v>
      </c>
      <c r="H44" s="19">
        <v>5.0999999999999996</v>
      </c>
      <c r="I44" s="19">
        <f t="shared" si="3"/>
        <v>177.08</v>
      </c>
      <c r="J44" s="20">
        <v>155</v>
      </c>
      <c r="K44" s="20">
        <v>163.30000000000001</v>
      </c>
      <c r="L44" s="28">
        <f t="shared" si="4"/>
        <v>22.080000000000013</v>
      </c>
      <c r="M44" s="20">
        <v>157</v>
      </c>
      <c r="N44" s="49">
        <v>39448</v>
      </c>
      <c r="O44" s="41">
        <f>DATEDIF(N44,F44,"m")</f>
        <v>69</v>
      </c>
      <c r="P44" s="41">
        <f t="shared" si="10"/>
        <v>160.77000000000001</v>
      </c>
      <c r="Q44" s="53">
        <f t="shared" si="0"/>
        <v>160.77000000000001</v>
      </c>
      <c r="R44" s="20">
        <f t="shared" si="6"/>
        <v>3.7700000000000102</v>
      </c>
      <c r="S44" s="20">
        <f t="shared" si="7"/>
        <v>-2</v>
      </c>
      <c r="T44" s="20">
        <v>12000</v>
      </c>
      <c r="U44" s="30">
        <f t="shared" si="1"/>
        <v>8711.0136986301422</v>
      </c>
      <c r="V44" s="32">
        <f t="shared" si="8"/>
        <v>1487.3424657534285</v>
      </c>
    </row>
    <row r="45" spans="1:22" ht="31.5" customHeight="1" x14ac:dyDescent="0.15">
      <c r="A45" s="13" t="s">
        <v>77</v>
      </c>
      <c r="B45" s="17" t="s">
        <v>78</v>
      </c>
      <c r="C45" s="7" t="s">
        <v>79</v>
      </c>
      <c r="D45" s="9">
        <v>3</v>
      </c>
      <c r="E45" s="25">
        <v>37622</v>
      </c>
      <c r="F45" s="10">
        <v>41548</v>
      </c>
      <c r="G45" s="11">
        <f t="shared" si="2"/>
        <v>129</v>
      </c>
      <c r="H45" s="20">
        <v>10.029999999999999</v>
      </c>
      <c r="I45" s="19">
        <f t="shared" si="3"/>
        <v>300.57</v>
      </c>
      <c r="J45" s="20">
        <v>273</v>
      </c>
      <c r="K45" s="20">
        <v>286.99</v>
      </c>
      <c r="L45" s="28">
        <f t="shared" si="4"/>
        <v>27.569999999999993</v>
      </c>
      <c r="M45" s="20">
        <v>137</v>
      </c>
      <c r="N45" s="49">
        <v>39448</v>
      </c>
      <c r="O45" s="41">
        <f>DATEDIF(N45,F45,"m")</f>
        <v>69</v>
      </c>
      <c r="P45" s="41">
        <f t="shared" si="10"/>
        <v>160.77000000000001</v>
      </c>
      <c r="Q45" s="53">
        <f t="shared" si="0"/>
        <v>160.77000000000001</v>
      </c>
      <c r="R45" s="20">
        <f t="shared" si="6"/>
        <v>23.77000000000001</v>
      </c>
      <c r="S45" s="42"/>
      <c r="T45" s="20">
        <v>20000</v>
      </c>
      <c r="U45" s="30">
        <f t="shared" si="1"/>
        <v>18128.219178082185</v>
      </c>
      <c r="V45" s="32">
        <f t="shared" si="8"/>
        <v>15629.589041095896</v>
      </c>
    </row>
    <row r="46" spans="1:22" ht="36.75" customHeight="1" x14ac:dyDescent="0.15">
      <c r="A46" s="13" t="s">
        <v>77</v>
      </c>
      <c r="B46" s="22" t="s">
        <v>80</v>
      </c>
      <c r="C46" s="12" t="s">
        <v>81</v>
      </c>
      <c r="D46" s="9">
        <v>36</v>
      </c>
      <c r="E46" s="25">
        <v>38930</v>
      </c>
      <c r="F46" s="10">
        <v>41548</v>
      </c>
      <c r="G46" s="11">
        <f t="shared" si="2"/>
        <v>86</v>
      </c>
      <c r="H46" s="20">
        <v>6.08</v>
      </c>
      <c r="I46" s="19">
        <f t="shared" si="3"/>
        <v>200.38</v>
      </c>
      <c r="J46" s="20">
        <v>151</v>
      </c>
      <c r="K46" s="20">
        <v>186.64</v>
      </c>
      <c r="L46" s="28">
        <f t="shared" si="4"/>
        <v>49.379999999999995</v>
      </c>
      <c r="M46" s="20">
        <v>144</v>
      </c>
      <c r="N46" s="49">
        <v>39448</v>
      </c>
      <c r="O46" s="41">
        <f>DATEDIF(N46,F46,"m")</f>
        <v>69</v>
      </c>
      <c r="P46" s="41">
        <f t="shared" si="10"/>
        <v>160.77000000000001</v>
      </c>
      <c r="Q46" s="53">
        <f t="shared" si="0"/>
        <v>160.77000000000001</v>
      </c>
      <c r="R46" s="20">
        <f t="shared" si="6"/>
        <v>16.77000000000001</v>
      </c>
      <c r="S46" s="42"/>
      <c r="T46" s="20">
        <v>13000</v>
      </c>
      <c r="U46" s="30">
        <f t="shared" si="1"/>
        <v>21104.876712328765</v>
      </c>
      <c r="V46" s="32">
        <f t="shared" si="8"/>
        <v>7167.4520547945249</v>
      </c>
    </row>
    <row r="47" spans="1:22" ht="31.5" customHeight="1" x14ac:dyDescent="0.15">
      <c r="A47" s="13" t="s">
        <v>77</v>
      </c>
      <c r="B47" s="7" t="s">
        <v>80</v>
      </c>
      <c r="C47" s="7" t="s">
        <v>82</v>
      </c>
      <c r="D47" s="9">
        <v>63</v>
      </c>
      <c r="E47" s="25">
        <v>39572</v>
      </c>
      <c r="F47" s="10">
        <v>41548</v>
      </c>
      <c r="G47" s="11">
        <f t="shared" si="2"/>
        <v>64</v>
      </c>
      <c r="H47" s="19">
        <v>4.0999999999999996</v>
      </c>
      <c r="I47" s="19">
        <f t="shared" si="3"/>
        <v>149.12</v>
      </c>
      <c r="J47" s="20">
        <v>35</v>
      </c>
      <c r="K47" s="20">
        <v>135.30000000000001</v>
      </c>
      <c r="L47" s="28">
        <f t="shared" si="4"/>
        <v>114.12</v>
      </c>
      <c r="M47" s="20">
        <v>32</v>
      </c>
      <c r="N47" s="49">
        <v>39448</v>
      </c>
      <c r="O47" s="41">
        <f>DATEDIF(E47,F47,"m")</f>
        <v>64</v>
      </c>
      <c r="P47" s="41">
        <f t="shared" si="10"/>
        <v>149.12</v>
      </c>
      <c r="Q47" s="53">
        <f t="shared" si="0"/>
        <v>149.12</v>
      </c>
      <c r="R47" s="20">
        <f t="shared" si="6"/>
        <v>117.12</v>
      </c>
      <c r="S47" s="20">
        <f t="shared" si="7"/>
        <v>3</v>
      </c>
      <c r="T47" s="20">
        <v>13000</v>
      </c>
      <c r="U47" s="30">
        <f t="shared" si="1"/>
        <v>48774.57534246576</v>
      </c>
      <c r="V47" s="32">
        <f t="shared" si="8"/>
        <v>50056.767123287675</v>
      </c>
    </row>
    <row r="48" spans="1:22" ht="31.5" customHeight="1" x14ac:dyDescent="0.15">
      <c r="A48" s="13" t="s">
        <v>77</v>
      </c>
      <c r="B48" s="7" t="s">
        <v>80</v>
      </c>
      <c r="C48" s="7" t="s">
        <v>83</v>
      </c>
      <c r="D48" s="9">
        <v>144</v>
      </c>
      <c r="E48" s="25">
        <v>41183</v>
      </c>
      <c r="F48" s="10">
        <v>41548</v>
      </c>
      <c r="G48" s="11">
        <f t="shared" si="2"/>
        <v>12</v>
      </c>
      <c r="H48" s="20"/>
      <c r="I48" s="19">
        <f t="shared" si="3"/>
        <v>27.96</v>
      </c>
      <c r="J48" s="20">
        <v>14</v>
      </c>
      <c r="K48" s="20">
        <v>13.98</v>
      </c>
      <c r="L48" s="28">
        <f t="shared" si="4"/>
        <v>13.96</v>
      </c>
      <c r="M48" s="20">
        <v>14</v>
      </c>
      <c r="N48" s="47">
        <f t="shared" ref="N48:N49" si="28">E48</f>
        <v>41183</v>
      </c>
      <c r="O48" s="41">
        <f t="shared" ref="O48:O50" si="29">DATEDIF(N48,F48,"m")</f>
        <v>12</v>
      </c>
      <c r="P48" s="41">
        <f t="shared" si="10"/>
        <v>27.96</v>
      </c>
      <c r="Q48" s="53">
        <f t="shared" si="0"/>
        <v>27.96</v>
      </c>
      <c r="R48" s="20">
        <f t="shared" si="6"/>
        <v>13.96</v>
      </c>
      <c r="S48" s="20">
        <f t="shared" si="7"/>
        <v>0</v>
      </c>
      <c r="T48" s="20">
        <v>13000</v>
      </c>
      <c r="U48" s="30">
        <f t="shared" si="1"/>
        <v>5966.465753424658</v>
      </c>
      <c r="V48" s="32">
        <f t="shared" si="8"/>
        <v>5966.465753424658</v>
      </c>
    </row>
    <row r="49" spans="1:22" ht="31.5" customHeight="1" x14ac:dyDescent="0.15">
      <c r="A49" s="13" t="s">
        <v>77</v>
      </c>
      <c r="B49" s="7" t="s">
        <v>80</v>
      </c>
      <c r="C49" s="7" t="s">
        <v>84</v>
      </c>
      <c r="D49" s="9">
        <v>145</v>
      </c>
      <c r="E49" s="25">
        <v>41183</v>
      </c>
      <c r="F49" s="10">
        <v>41548</v>
      </c>
      <c r="G49" s="11">
        <f t="shared" si="2"/>
        <v>12</v>
      </c>
      <c r="H49" s="20"/>
      <c r="I49" s="19">
        <f t="shared" si="3"/>
        <v>27.96</v>
      </c>
      <c r="J49" s="20">
        <v>7</v>
      </c>
      <c r="K49" s="20">
        <v>13.98</v>
      </c>
      <c r="L49" s="28">
        <f t="shared" si="4"/>
        <v>20.96</v>
      </c>
      <c r="M49" s="20">
        <v>7</v>
      </c>
      <c r="N49" s="47">
        <f t="shared" si="28"/>
        <v>41183</v>
      </c>
      <c r="O49" s="41">
        <f t="shared" si="29"/>
        <v>12</v>
      </c>
      <c r="P49" s="41">
        <f>O49*2.33</f>
        <v>27.96</v>
      </c>
      <c r="Q49" s="53">
        <f t="shared" si="0"/>
        <v>27.96</v>
      </c>
      <c r="R49" s="20">
        <f t="shared" si="6"/>
        <v>20.96</v>
      </c>
      <c r="S49" s="20">
        <f t="shared" si="7"/>
        <v>0</v>
      </c>
      <c r="T49" s="20">
        <v>13000</v>
      </c>
      <c r="U49" s="30">
        <f t="shared" si="1"/>
        <v>8958.2465753424658</v>
      </c>
      <c r="V49" s="32">
        <f t="shared" si="8"/>
        <v>8958.2465753424658</v>
      </c>
    </row>
    <row r="50" spans="1:22" ht="31.5" customHeight="1" x14ac:dyDescent="0.15">
      <c r="A50" s="13" t="s">
        <v>77</v>
      </c>
      <c r="B50" s="7" t="s">
        <v>80</v>
      </c>
      <c r="C50" s="7" t="s">
        <v>132</v>
      </c>
      <c r="D50" s="9"/>
      <c r="E50" s="25">
        <v>41429</v>
      </c>
      <c r="F50" s="10">
        <v>41548</v>
      </c>
      <c r="G50" s="11">
        <f t="shared" si="2"/>
        <v>3</v>
      </c>
      <c r="H50" s="20"/>
      <c r="I50" s="19">
        <f t="shared" si="3"/>
        <v>6.99</v>
      </c>
      <c r="J50" s="20">
        <v>0</v>
      </c>
      <c r="K50" s="20">
        <v>13.98</v>
      </c>
      <c r="L50" s="28">
        <f t="shared" si="4"/>
        <v>6.99</v>
      </c>
      <c r="M50" s="20">
        <v>0</v>
      </c>
      <c r="N50" s="49">
        <v>41429</v>
      </c>
      <c r="O50" s="41">
        <f t="shared" si="29"/>
        <v>3</v>
      </c>
      <c r="P50" s="41">
        <f>O50*2.33</f>
        <v>6.99</v>
      </c>
      <c r="Q50" s="53">
        <f t="shared" si="0"/>
        <v>6.99</v>
      </c>
      <c r="R50" s="20">
        <f t="shared" si="6"/>
        <v>6.99</v>
      </c>
      <c r="S50" s="20">
        <f t="shared" si="7"/>
        <v>0</v>
      </c>
      <c r="T50" s="20">
        <v>12000</v>
      </c>
      <c r="U50" s="30">
        <f t="shared" si="1"/>
        <v>2757.6986301369861</v>
      </c>
      <c r="V50" s="32">
        <f t="shared" si="8"/>
        <v>2757.6986301369861</v>
      </c>
    </row>
    <row r="51" spans="1:22" ht="31.5" customHeight="1" x14ac:dyDescent="0.15">
      <c r="A51" s="13" t="s">
        <v>77</v>
      </c>
      <c r="B51" s="7" t="s">
        <v>80</v>
      </c>
      <c r="C51" s="7" t="s">
        <v>129</v>
      </c>
      <c r="D51" s="9"/>
      <c r="E51" s="25">
        <v>41365</v>
      </c>
      <c r="F51" s="10">
        <v>41548</v>
      </c>
      <c r="G51" s="11">
        <f t="shared" si="2"/>
        <v>6</v>
      </c>
      <c r="H51" s="20"/>
      <c r="I51" s="19">
        <f t="shared" si="3"/>
        <v>13.98</v>
      </c>
      <c r="J51" s="20">
        <v>0</v>
      </c>
      <c r="K51" s="20">
        <v>135.30000000000001</v>
      </c>
      <c r="L51" s="28">
        <f t="shared" si="4"/>
        <v>13.98</v>
      </c>
      <c r="M51" s="20">
        <v>0</v>
      </c>
      <c r="N51" s="47">
        <f t="shared" ref="N51:N54" si="30">E51</f>
        <v>41365</v>
      </c>
      <c r="O51" s="41">
        <f t="shared" ref="O51" si="31">DATEDIF(E51,F51,"m")</f>
        <v>6</v>
      </c>
      <c r="P51" s="41">
        <f t="shared" si="10"/>
        <v>13.98</v>
      </c>
      <c r="Q51" s="53">
        <f t="shared" si="0"/>
        <v>13.98</v>
      </c>
      <c r="R51" s="20">
        <f t="shared" si="6"/>
        <v>13.98</v>
      </c>
      <c r="S51" s="20">
        <f t="shared" si="7"/>
        <v>0</v>
      </c>
      <c r="T51" s="20">
        <v>13000</v>
      </c>
      <c r="U51" s="30">
        <f t="shared" si="1"/>
        <v>5975.0136986301377</v>
      </c>
      <c r="V51" s="32">
        <f t="shared" si="8"/>
        <v>5975.0136986301377</v>
      </c>
    </row>
    <row r="52" spans="1:22" ht="31.5" customHeight="1" x14ac:dyDescent="0.15">
      <c r="A52" s="13" t="s">
        <v>37</v>
      </c>
      <c r="B52" s="7" t="s">
        <v>122</v>
      </c>
      <c r="C52" s="7" t="s">
        <v>131</v>
      </c>
      <c r="D52" s="9"/>
      <c r="E52" s="26">
        <v>41393</v>
      </c>
      <c r="F52" s="10">
        <v>41548</v>
      </c>
      <c r="G52" s="11">
        <f t="shared" si="2"/>
        <v>5</v>
      </c>
      <c r="H52" s="20"/>
      <c r="I52" s="19">
        <f t="shared" si="3"/>
        <v>11.65</v>
      </c>
      <c r="J52" s="20">
        <v>0</v>
      </c>
      <c r="K52" s="20">
        <v>4.66</v>
      </c>
      <c r="L52" s="28">
        <f t="shared" si="4"/>
        <v>11.65</v>
      </c>
      <c r="M52" s="20">
        <v>0</v>
      </c>
      <c r="N52" s="47">
        <f t="shared" si="30"/>
        <v>41393</v>
      </c>
      <c r="O52" s="41">
        <f t="shared" ref="O52:O55" si="32">DATEDIF(N52,F52,"m")</f>
        <v>5</v>
      </c>
      <c r="P52" s="41">
        <f t="shared" si="10"/>
        <v>11.65</v>
      </c>
      <c r="Q52" s="53">
        <f t="shared" si="0"/>
        <v>11.65</v>
      </c>
      <c r="R52" s="20">
        <f t="shared" si="6"/>
        <v>11.65</v>
      </c>
      <c r="S52" s="20">
        <f t="shared" si="7"/>
        <v>0</v>
      </c>
      <c r="T52" s="20">
        <v>13000</v>
      </c>
      <c r="U52" s="30">
        <f t="shared" si="1"/>
        <v>4979.178082191781</v>
      </c>
      <c r="V52" s="32">
        <f t="shared" si="8"/>
        <v>4979.178082191781</v>
      </c>
    </row>
    <row r="53" spans="1:22" ht="31.5" customHeight="1" x14ac:dyDescent="0.15">
      <c r="A53" s="17"/>
      <c r="B53" s="65"/>
      <c r="C53" s="15" t="s">
        <v>133</v>
      </c>
      <c r="D53" s="66"/>
      <c r="E53" s="26">
        <v>41456</v>
      </c>
      <c r="F53" s="10">
        <v>41548</v>
      </c>
      <c r="G53" s="67">
        <f t="shared" si="2"/>
        <v>3</v>
      </c>
      <c r="H53" s="20"/>
      <c r="I53" s="19">
        <f t="shared" si="3"/>
        <v>6.99</v>
      </c>
      <c r="J53" s="20">
        <v>1</v>
      </c>
      <c r="K53" s="20"/>
      <c r="L53" s="28">
        <f t="shared" si="4"/>
        <v>5.99</v>
      </c>
      <c r="M53" s="20">
        <v>1</v>
      </c>
      <c r="N53" s="47">
        <f t="shared" si="30"/>
        <v>41456</v>
      </c>
      <c r="O53" s="41">
        <f t="shared" si="32"/>
        <v>3</v>
      </c>
      <c r="P53" s="41">
        <f t="shared" si="10"/>
        <v>6.99</v>
      </c>
      <c r="Q53" s="53">
        <f t="shared" si="0"/>
        <v>6.99</v>
      </c>
      <c r="R53" s="20">
        <f t="shared" si="6"/>
        <v>5.99</v>
      </c>
      <c r="S53" s="20">
        <f t="shared" si="7"/>
        <v>0</v>
      </c>
      <c r="T53" s="20">
        <v>13000</v>
      </c>
      <c r="U53" s="30">
        <f t="shared" si="1"/>
        <v>2560.1095890410961</v>
      </c>
      <c r="V53" s="32">
        <f t="shared" si="8"/>
        <v>2560.1095890410961</v>
      </c>
    </row>
    <row r="54" spans="1:22" ht="22.5" customHeight="1" x14ac:dyDescent="0.15">
      <c r="A54" s="17"/>
      <c r="B54" s="65"/>
      <c r="C54" s="15"/>
      <c r="D54" s="66"/>
      <c r="E54" s="26"/>
      <c r="F54" s="10"/>
      <c r="G54" s="67"/>
      <c r="H54" s="20"/>
      <c r="I54" s="19"/>
      <c r="J54" s="20"/>
      <c r="K54" s="20"/>
      <c r="L54" s="28"/>
      <c r="M54" s="20"/>
      <c r="N54" s="47">
        <f t="shared" si="30"/>
        <v>0</v>
      </c>
      <c r="O54" s="41">
        <f t="shared" si="32"/>
        <v>0</v>
      </c>
      <c r="P54" s="41">
        <f t="shared" si="10"/>
        <v>0</v>
      </c>
      <c r="Q54" s="53"/>
      <c r="R54" s="20"/>
      <c r="S54" s="20"/>
      <c r="T54" s="20"/>
      <c r="U54" s="30"/>
      <c r="V54" s="32"/>
    </row>
    <row r="55" spans="1:22" ht="31.5" customHeight="1" x14ac:dyDescent="0.15">
      <c r="A55" s="17"/>
      <c r="B55" s="65"/>
      <c r="C55" s="15" t="s">
        <v>135</v>
      </c>
      <c r="D55" s="66"/>
      <c r="E55" s="26">
        <v>41477</v>
      </c>
      <c r="F55" s="10">
        <v>41548</v>
      </c>
      <c r="G55" s="67">
        <f t="shared" si="2"/>
        <v>2</v>
      </c>
      <c r="H55" s="20"/>
      <c r="I55" s="19">
        <f t="shared" si="3"/>
        <v>4.66</v>
      </c>
      <c r="J55" s="20">
        <v>0</v>
      </c>
      <c r="K55" s="20"/>
      <c r="L55" s="28">
        <f t="shared" si="4"/>
        <v>4.66</v>
      </c>
      <c r="M55" s="20">
        <v>0</v>
      </c>
      <c r="N55" s="47">
        <v>41477</v>
      </c>
      <c r="O55" s="41">
        <f t="shared" si="32"/>
        <v>2</v>
      </c>
      <c r="P55" s="41">
        <f t="shared" si="10"/>
        <v>4.66</v>
      </c>
      <c r="Q55" s="53">
        <f t="shared" si="0"/>
        <v>4.66</v>
      </c>
      <c r="R55" s="20">
        <f t="shared" si="6"/>
        <v>4.66</v>
      </c>
      <c r="S55" s="20">
        <f t="shared" si="7"/>
        <v>0</v>
      </c>
      <c r="T55" s="20">
        <v>13000</v>
      </c>
      <c r="U55" s="30">
        <f t="shared" si="1"/>
        <v>1991.6712328767126</v>
      </c>
      <c r="V55" s="32">
        <f t="shared" si="8"/>
        <v>1991.6712328767126</v>
      </c>
    </row>
    <row r="56" spans="1:22" ht="31.5" customHeight="1" x14ac:dyDescent="0.15">
      <c r="A56" s="17"/>
      <c r="C56" s="15"/>
      <c r="D56" s="66"/>
      <c r="E56" s="26"/>
      <c r="F56" s="10"/>
      <c r="G56" s="67"/>
      <c r="H56" s="20"/>
      <c r="I56" s="19"/>
      <c r="J56" s="20"/>
      <c r="K56" s="20"/>
      <c r="L56" s="28"/>
      <c r="M56" s="20"/>
      <c r="N56" s="47"/>
      <c r="O56" s="41"/>
      <c r="P56" s="41"/>
      <c r="Q56" s="53"/>
      <c r="R56" s="20"/>
      <c r="S56" s="20"/>
      <c r="T56" s="20"/>
      <c r="U56" s="69"/>
      <c r="V56" s="20"/>
    </row>
    <row r="57" spans="1:22" ht="31.5" customHeight="1" x14ac:dyDescent="0.15">
      <c r="C57" s="65"/>
      <c r="D57" s="63"/>
      <c r="E57" s="64"/>
      <c r="F57" s="68"/>
      <c r="G57" s="23"/>
      <c r="H57" s="23"/>
      <c r="I57" s="23"/>
      <c r="J57" s="23"/>
      <c r="K57" s="23"/>
      <c r="L57" s="27">
        <f>SUBTOTAL(9,L2:L52)</f>
        <v>1176.8000000000006</v>
      </c>
      <c r="M57" s="23"/>
      <c r="N57" s="48"/>
      <c r="O57" s="48"/>
      <c r="P57" s="48"/>
      <c r="Q57" s="54"/>
      <c r="R57" s="27">
        <f>SUBTOTAL(9,R2:R54)</f>
        <v>833.24</v>
      </c>
      <c r="S57" s="23"/>
      <c r="T57" s="59">
        <f>SUBTOTAL(9,T2:T52)</f>
        <v>670000</v>
      </c>
      <c r="U57" s="60">
        <f>SUM(U2:U56)</f>
        <v>652512.6575342468</v>
      </c>
      <c r="V57" s="58">
        <f>SUM(V2:V56)</f>
        <v>431662.02739726042</v>
      </c>
    </row>
    <row r="58" spans="1:22" ht="31.5" customHeight="1" x14ac:dyDescent="0.15">
      <c r="C58" s="65"/>
      <c r="D58" s="63"/>
      <c r="E58" s="64"/>
      <c r="F58" s="68"/>
    </row>
    <row r="59" spans="1:22" ht="31.5" customHeight="1" x14ac:dyDescent="0.15">
      <c r="C59" s="65"/>
      <c r="E59" s="62"/>
      <c r="F59" s="68"/>
    </row>
    <row r="60" spans="1:22" ht="31.5" customHeight="1" x14ac:dyDescent="0.15">
      <c r="E60" s="27"/>
      <c r="F60" s="23"/>
    </row>
  </sheetData>
  <autoFilter ref="A1:V56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tabSelected="1" zoomScaleNormal="100" workbookViewId="0">
      <pane xSplit="3" ySplit="1" topLeftCell="D31" activePane="bottomRight" state="frozen"/>
      <selection activeCell="C1" sqref="C1"/>
      <selection pane="topRight" activeCell="D1" sqref="D1"/>
      <selection pane="bottomLeft" activeCell="C5" sqref="C5"/>
      <selection pane="bottomRight" activeCell="G36" sqref="G36"/>
    </sheetView>
  </sheetViews>
  <sheetFormatPr defaultColWidth="27.5703125" defaultRowHeight="30.75" customHeight="1" outlineLevelCol="1" x14ac:dyDescent="0.15"/>
  <cols>
    <col min="1" max="2" width="27.5703125" style="18" customWidth="1" outlineLevel="1"/>
    <col min="3" max="3" width="27.5703125" style="18"/>
    <col min="4" max="4" width="12.42578125" style="18" customWidth="1"/>
    <col min="5" max="5" width="11.5703125" style="24" customWidth="1"/>
    <col min="6" max="6" width="10.140625" style="18" customWidth="1"/>
    <col min="7" max="7" width="12.42578125" style="18" customWidth="1"/>
    <col min="8" max="8" width="11.42578125" style="18" customWidth="1"/>
    <col min="9" max="9" width="13.85546875" style="18" customWidth="1"/>
    <col min="10" max="10" width="14.5703125" style="18" customWidth="1"/>
    <col min="11" max="11" width="9.85546875" style="18" customWidth="1"/>
    <col min="12" max="12" width="13.5703125" style="24" customWidth="1"/>
    <col min="13" max="13" width="11.42578125" style="18" customWidth="1"/>
    <col min="14" max="14" width="11" style="45" hidden="1" customWidth="1" outlineLevel="1"/>
    <col min="15" max="15" width="11.85546875" style="45" hidden="1" customWidth="1" outlineLevel="1"/>
    <col min="16" max="16" width="9.140625" style="45" hidden="1" customWidth="1" outlineLevel="1"/>
    <col min="17" max="17" width="9.7109375" style="51" customWidth="1" collapsed="1"/>
    <col min="18" max="18" width="7.42578125" style="18" customWidth="1"/>
    <col min="19" max="19" width="7.85546875" style="18" customWidth="1"/>
    <col min="20" max="20" width="16.28515625" style="18" customWidth="1" outlineLevel="1"/>
    <col min="21" max="21" width="17.5703125" style="29" customWidth="1" outlineLevel="1"/>
    <col min="22" max="22" width="12.7109375" style="18" customWidth="1" outlineLevel="1"/>
    <col min="23" max="16384" width="27.5703125" style="18"/>
  </cols>
  <sheetData>
    <row r="1" spans="1:22" s="81" customFormat="1" ht="56.25" customHeight="1" x14ac:dyDescent="0.25">
      <c r="A1" s="70" t="s">
        <v>0</v>
      </c>
      <c r="B1" s="70" t="s">
        <v>1</v>
      </c>
      <c r="C1" s="70" t="s">
        <v>2</v>
      </c>
      <c r="D1" s="71" t="s">
        <v>3</v>
      </c>
      <c r="E1" s="72" t="s">
        <v>107</v>
      </c>
      <c r="F1" s="70" t="s">
        <v>115</v>
      </c>
      <c r="G1" s="70" t="s">
        <v>117</v>
      </c>
      <c r="H1" s="73" t="s">
        <v>4</v>
      </c>
      <c r="I1" s="74" t="s">
        <v>118</v>
      </c>
      <c r="J1" s="75" t="s">
        <v>119</v>
      </c>
      <c r="K1" s="73" t="s">
        <v>108</v>
      </c>
      <c r="L1" s="76" t="s">
        <v>109</v>
      </c>
      <c r="M1" s="75" t="s">
        <v>120</v>
      </c>
      <c r="N1" s="46" t="s">
        <v>125</v>
      </c>
      <c r="O1" s="46" t="s">
        <v>124</v>
      </c>
      <c r="P1" s="50" t="s">
        <v>114</v>
      </c>
      <c r="Q1" s="77" t="s">
        <v>126</v>
      </c>
      <c r="R1" s="75" t="s">
        <v>110</v>
      </c>
      <c r="S1" s="75" t="s">
        <v>113</v>
      </c>
      <c r="T1" s="78" t="s">
        <v>111</v>
      </c>
      <c r="U1" s="79" t="s">
        <v>112</v>
      </c>
      <c r="V1" s="80" t="s">
        <v>123</v>
      </c>
    </row>
    <row r="2" spans="1:22" ht="30.75" customHeight="1" x14ac:dyDescent="0.15">
      <c r="A2" s="7" t="s">
        <v>31</v>
      </c>
      <c r="B2" s="7" t="s">
        <v>13</v>
      </c>
      <c r="C2" s="7" t="s">
        <v>9</v>
      </c>
      <c r="D2" s="9">
        <v>23</v>
      </c>
      <c r="E2" s="25">
        <v>38443</v>
      </c>
      <c r="F2" s="10">
        <v>41579</v>
      </c>
      <c r="G2" s="11">
        <f>DATEDIF(E2,F2,"m")</f>
        <v>103</v>
      </c>
      <c r="H2" s="19">
        <v>8</v>
      </c>
      <c r="I2" s="19">
        <f>G2*2.33</f>
        <v>239.99</v>
      </c>
      <c r="J2" s="20">
        <f>203+7</f>
        <v>210</v>
      </c>
      <c r="K2" s="20">
        <v>224</v>
      </c>
      <c r="L2" s="28">
        <f>I2-J2</f>
        <v>29.990000000000009</v>
      </c>
      <c r="M2" s="21">
        <f>154+7</f>
        <v>161</v>
      </c>
      <c r="N2" s="49">
        <v>39448</v>
      </c>
      <c r="O2" s="41">
        <f>DATEDIF(N2,F2,"m")</f>
        <v>70</v>
      </c>
      <c r="P2" s="41">
        <f>O2*2.33</f>
        <v>163.1</v>
      </c>
      <c r="Q2" s="53">
        <f t="shared" ref="Q2:Q58" si="0">O2*2.33</f>
        <v>163.1</v>
      </c>
      <c r="R2" s="20">
        <f>Q2-M2</f>
        <v>2.0999999999999943</v>
      </c>
      <c r="S2" s="42"/>
      <c r="T2" s="20">
        <v>18000</v>
      </c>
      <c r="U2" s="30">
        <f t="shared" ref="U2:U58" si="1">((T2*12)/365)*L2</f>
        <v>17747.506849315076</v>
      </c>
      <c r="V2" s="32">
        <f>((T2*12)/365)*R2</f>
        <v>1242.739726027394</v>
      </c>
    </row>
    <row r="3" spans="1:22" ht="30.75" customHeight="1" x14ac:dyDescent="0.15">
      <c r="A3" s="7" t="s">
        <v>31</v>
      </c>
      <c r="B3" s="7" t="s">
        <v>46</v>
      </c>
      <c r="C3" s="7" t="s">
        <v>45</v>
      </c>
      <c r="D3" s="9">
        <v>106</v>
      </c>
      <c r="E3" s="25">
        <v>40513</v>
      </c>
      <c r="F3" s="10">
        <v>41579</v>
      </c>
      <c r="G3" s="11">
        <f t="shared" ref="G3:G58" si="2">DATEDIF(E3,F3,"m")</f>
        <v>35</v>
      </c>
      <c r="H3" s="19">
        <v>2.04</v>
      </c>
      <c r="I3" s="19">
        <f t="shared" ref="I3:I58" si="3">G3*2.33</f>
        <v>81.55</v>
      </c>
      <c r="J3" s="20">
        <v>84</v>
      </c>
      <c r="K3" s="20">
        <v>65.319999999999993</v>
      </c>
      <c r="L3" s="28">
        <f t="shared" ref="L3:L58" si="4">I3-J3</f>
        <v>-2.4500000000000028</v>
      </c>
      <c r="M3" s="20">
        <v>84</v>
      </c>
      <c r="N3" s="47">
        <f>E3</f>
        <v>40513</v>
      </c>
      <c r="O3" s="41">
        <f t="shared" ref="O3:O6" si="5">DATEDIF(N3,F3,"m")</f>
        <v>35</v>
      </c>
      <c r="P3" s="41">
        <f>O3*2.33</f>
        <v>81.55</v>
      </c>
      <c r="Q3" s="53">
        <f t="shared" si="0"/>
        <v>81.55</v>
      </c>
      <c r="R3" s="20">
        <f t="shared" ref="R3:R58" si="6">Q3-M3</f>
        <v>-2.4500000000000028</v>
      </c>
      <c r="S3" s="20">
        <f t="shared" ref="S3:S55" si="7">J3-M3</f>
        <v>0</v>
      </c>
      <c r="T3" s="20">
        <v>12000</v>
      </c>
      <c r="U3" s="30">
        <f t="shared" si="1"/>
        <v>-966.57534246575449</v>
      </c>
      <c r="V3" s="32">
        <f t="shared" ref="V3:V58" si="8">((T3*12)/365)*R3</f>
        <v>-966.57534246575449</v>
      </c>
    </row>
    <row r="4" spans="1:22" ht="30.75" customHeight="1" x14ac:dyDescent="0.15">
      <c r="A4" s="7" t="s">
        <v>31</v>
      </c>
      <c r="B4" s="7" t="s">
        <v>11</v>
      </c>
      <c r="C4" s="7" t="s">
        <v>16</v>
      </c>
      <c r="D4" s="9">
        <v>126</v>
      </c>
      <c r="E4" s="25">
        <v>40848</v>
      </c>
      <c r="F4" s="10">
        <v>41579</v>
      </c>
      <c r="G4" s="11">
        <f t="shared" si="2"/>
        <v>24</v>
      </c>
      <c r="H4" s="19">
        <v>1.05</v>
      </c>
      <c r="I4" s="19">
        <f t="shared" si="3"/>
        <v>55.92</v>
      </c>
      <c r="J4" s="20">
        <f>14+28</f>
        <v>42</v>
      </c>
      <c r="K4" s="20">
        <v>39.65</v>
      </c>
      <c r="L4" s="28">
        <f t="shared" si="4"/>
        <v>13.920000000000002</v>
      </c>
      <c r="M4" s="42"/>
      <c r="N4" s="42"/>
      <c r="O4" s="42"/>
      <c r="P4" s="42"/>
      <c r="Q4" s="42"/>
      <c r="R4" s="42"/>
      <c r="S4" s="42"/>
      <c r="T4" s="20">
        <v>13000</v>
      </c>
      <c r="U4" s="30">
        <f t="shared" si="1"/>
        <v>5949.3698630136996</v>
      </c>
      <c r="V4" s="32">
        <f t="shared" si="8"/>
        <v>0</v>
      </c>
    </row>
    <row r="5" spans="1:22" ht="30.75" customHeight="1" x14ac:dyDescent="0.15">
      <c r="A5" s="7" t="s">
        <v>31</v>
      </c>
      <c r="B5" s="7" t="s">
        <v>11</v>
      </c>
      <c r="C5" s="7" t="s">
        <v>12</v>
      </c>
      <c r="D5" s="9">
        <v>123</v>
      </c>
      <c r="E5" s="25">
        <v>40826</v>
      </c>
      <c r="F5" s="10">
        <v>41579</v>
      </c>
      <c r="G5" s="11">
        <f t="shared" si="2"/>
        <v>24</v>
      </c>
      <c r="H5" s="19">
        <v>1.05</v>
      </c>
      <c r="I5" s="19">
        <f t="shared" si="3"/>
        <v>55.92</v>
      </c>
      <c r="J5" s="20">
        <f>45+3</f>
        <v>48</v>
      </c>
      <c r="K5" s="20">
        <v>39.65</v>
      </c>
      <c r="L5" s="28">
        <f t="shared" si="4"/>
        <v>7.9200000000000017</v>
      </c>
      <c r="M5" s="21">
        <f>45+3</f>
        <v>48</v>
      </c>
      <c r="N5" s="47">
        <f t="shared" ref="N5:N9" si="9">E5</f>
        <v>40826</v>
      </c>
      <c r="O5" s="41">
        <f t="shared" si="5"/>
        <v>24</v>
      </c>
      <c r="P5" s="41">
        <f t="shared" ref="P5:P58" si="10">O5*2.33</f>
        <v>55.92</v>
      </c>
      <c r="Q5" s="53">
        <f t="shared" si="0"/>
        <v>55.92</v>
      </c>
      <c r="R5" s="20">
        <f t="shared" si="6"/>
        <v>7.9200000000000017</v>
      </c>
      <c r="S5" s="20">
        <f t="shared" si="7"/>
        <v>0</v>
      </c>
      <c r="T5" s="20">
        <v>13000</v>
      </c>
      <c r="U5" s="30">
        <f t="shared" si="1"/>
        <v>3384.9863013698637</v>
      </c>
      <c r="V5" s="32">
        <f t="shared" si="8"/>
        <v>3384.9863013698637</v>
      </c>
    </row>
    <row r="6" spans="1:22" ht="30.75" customHeight="1" x14ac:dyDescent="0.15">
      <c r="A6" s="7" t="s">
        <v>31</v>
      </c>
      <c r="B6" s="7" t="s">
        <v>11</v>
      </c>
      <c r="C6" s="7" t="s">
        <v>26</v>
      </c>
      <c r="D6" s="9">
        <v>134</v>
      </c>
      <c r="E6" s="25">
        <v>41031</v>
      </c>
      <c r="F6" s="10">
        <v>41579</v>
      </c>
      <c r="G6" s="11">
        <f t="shared" si="2"/>
        <v>17</v>
      </c>
      <c r="H6" s="19">
        <v>0.11</v>
      </c>
      <c r="I6" s="19">
        <f t="shared" si="3"/>
        <v>39.61</v>
      </c>
      <c r="J6" s="20">
        <f>27+7</f>
        <v>34</v>
      </c>
      <c r="K6" s="20">
        <v>25.63</v>
      </c>
      <c r="L6" s="28">
        <f t="shared" si="4"/>
        <v>5.6099999999999994</v>
      </c>
      <c r="M6" s="21">
        <f>30+7</f>
        <v>37</v>
      </c>
      <c r="N6" s="47">
        <f t="shared" si="9"/>
        <v>41031</v>
      </c>
      <c r="O6" s="41">
        <f t="shared" si="5"/>
        <v>17</v>
      </c>
      <c r="P6" s="41">
        <f t="shared" si="10"/>
        <v>39.61</v>
      </c>
      <c r="Q6" s="53">
        <f t="shared" si="0"/>
        <v>39.61</v>
      </c>
      <c r="R6" s="20">
        <f t="shared" si="6"/>
        <v>2.6099999999999994</v>
      </c>
      <c r="S6" s="20">
        <f t="shared" si="7"/>
        <v>-3</v>
      </c>
      <c r="T6" s="20">
        <v>13000</v>
      </c>
      <c r="U6" s="30">
        <f t="shared" si="1"/>
        <v>2397.6986301369861</v>
      </c>
      <c r="V6" s="32">
        <f t="shared" si="8"/>
        <v>1115.5068493150684</v>
      </c>
    </row>
    <row r="7" spans="1:22" ht="30.75" customHeight="1" x14ac:dyDescent="0.15">
      <c r="A7" s="7" t="s">
        <v>31</v>
      </c>
      <c r="B7" s="7" t="s">
        <v>11</v>
      </c>
      <c r="C7" s="7" t="s">
        <v>47</v>
      </c>
      <c r="D7" s="9">
        <v>130</v>
      </c>
      <c r="E7" s="25">
        <v>40969</v>
      </c>
      <c r="F7" s="10">
        <v>41579</v>
      </c>
      <c r="G7" s="11">
        <f t="shared" si="2"/>
        <v>20</v>
      </c>
      <c r="H7" s="19">
        <v>1</v>
      </c>
      <c r="I7" s="19">
        <f t="shared" si="3"/>
        <v>46.6</v>
      </c>
      <c r="J7" s="20">
        <v>28</v>
      </c>
      <c r="K7" s="20">
        <v>28</v>
      </c>
      <c r="L7" s="28">
        <f t="shared" si="4"/>
        <v>18.600000000000001</v>
      </c>
      <c r="M7" s="42"/>
      <c r="N7" s="42"/>
      <c r="O7" s="42"/>
      <c r="P7" s="42"/>
      <c r="Q7" s="42"/>
      <c r="R7" s="42"/>
      <c r="S7" s="42"/>
      <c r="T7" s="20">
        <v>13000</v>
      </c>
      <c r="U7" s="30">
        <f t="shared" si="1"/>
        <v>7949.5890410958909</v>
      </c>
      <c r="V7" s="32">
        <f t="shared" si="8"/>
        <v>0</v>
      </c>
    </row>
    <row r="8" spans="1:22" ht="30.75" customHeight="1" x14ac:dyDescent="0.15">
      <c r="A8" s="7" t="s">
        <v>8</v>
      </c>
      <c r="B8" s="7" t="s">
        <v>14</v>
      </c>
      <c r="C8" s="7" t="s">
        <v>15</v>
      </c>
      <c r="D8" s="9">
        <v>8</v>
      </c>
      <c r="E8" s="25">
        <v>37259</v>
      </c>
      <c r="F8" s="10">
        <v>41579</v>
      </c>
      <c r="G8" s="11">
        <f t="shared" si="2"/>
        <v>141</v>
      </c>
      <c r="H8" s="19">
        <v>11.02</v>
      </c>
      <c r="I8" s="19">
        <f t="shared" si="3"/>
        <v>328.53000000000003</v>
      </c>
      <c r="J8" s="20">
        <f>197+15+2+5+5</f>
        <v>224</v>
      </c>
      <c r="K8" s="20">
        <v>312.66000000000003</v>
      </c>
      <c r="L8" s="28">
        <f t="shared" si="4"/>
        <v>104.53000000000003</v>
      </c>
      <c r="M8" s="21">
        <f>105+5+3</f>
        <v>113</v>
      </c>
      <c r="N8" s="49">
        <v>39448</v>
      </c>
      <c r="O8" s="41">
        <f>DATEDIF(N8,F8,"m")</f>
        <v>70</v>
      </c>
      <c r="P8" s="41">
        <f t="shared" si="10"/>
        <v>163.1</v>
      </c>
      <c r="Q8" s="53">
        <f t="shared" si="0"/>
        <v>163.1</v>
      </c>
      <c r="R8" s="20">
        <f t="shared" si="6"/>
        <v>50.099999999999994</v>
      </c>
      <c r="S8" s="42"/>
      <c r="T8" s="20">
        <v>28000</v>
      </c>
      <c r="U8" s="30">
        <f t="shared" si="1"/>
        <v>96224.876712328798</v>
      </c>
      <c r="V8" s="32">
        <f t="shared" si="8"/>
        <v>46119.452054794514</v>
      </c>
    </row>
    <row r="9" spans="1:22" ht="30.75" customHeight="1" x14ac:dyDescent="0.15">
      <c r="A9" s="7" t="s">
        <v>8</v>
      </c>
      <c r="B9" s="7" t="s">
        <v>10</v>
      </c>
      <c r="C9" s="8" t="s">
        <v>128</v>
      </c>
      <c r="D9" s="9">
        <v>140</v>
      </c>
      <c r="E9" s="25">
        <v>41143</v>
      </c>
      <c r="F9" s="10">
        <v>41579</v>
      </c>
      <c r="G9" s="11">
        <f t="shared" si="2"/>
        <v>14</v>
      </c>
      <c r="H9" s="19">
        <v>7.0000000000000007E-2</v>
      </c>
      <c r="I9" s="19">
        <f t="shared" si="3"/>
        <v>32.620000000000005</v>
      </c>
      <c r="J9" s="20">
        <f>21+1</f>
        <v>22</v>
      </c>
      <c r="K9" s="20">
        <v>16.309999999999999</v>
      </c>
      <c r="L9" s="28">
        <f t="shared" si="4"/>
        <v>10.620000000000005</v>
      </c>
      <c r="M9" s="21">
        <v>21</v>
      </c>
      <c r="N9" s="47">
        <f t="shared" si="9"/>
        <v>41143</v>
      </c>
      <c r="O9" s="41">
        <f t="shared" ref="O9" si="11">DATEDIF(N9,F9,"m")</f>
        <v>14</v>
      </c>
      <c r="P9" s="41">
        <f t="shared" si="10"/>
        <v>32.620000000000005</v>
      </c>
      <c r="Q9" s="53">
        <f t="shared" si="0"/>
        <v>32.620000000000005</v>
      </c>
      <c r="R9" s="20">
        <f t="shared" si="6"/>
        <v>11.620000000000005</v>
      </c>
      <c r="S9" s="20">
        <f t="shared" si="7"/>
        <v>1</v>
      </c>
      <c r="T9" s="20">
        <v>12000</v>
      </c>
      <c r="U9" s="30">
        <f t="shared" si="1"/>
        <v>4189.8082191780841</v>
      </c>
      <c r="V9" s="32">
        <f t="shared" si="8"/>
        <v>4584.3287671232893</v>
      </c>
    </row>
    <row r="10" spans="1:22" ht="30.75" customHeight="1" x14ac:dyDescent="0.15">
      <c r="A10" s="7" t="s">
        <v>32</v>
      </c>
      <c r="B10" s="7" t="s">
        <v>33</v>
      </c>
      <c r="C10" s="7" t="s">
        <v>17</v>
      </c>
      <c r="D10" s="9">
        <v>13</v>
      </c>
      <c r="E10" s="25">
        <v>37773</v>
      </c>
      <c r="F10" s="10">
        <v>41579</v>
      </c>
      <c r="G10" s="11">
        <f t="shared" si="2"/>
        <v>125</v>
      </c>
      <c r="H10" s="19">
        <v>9.1</v>
      </c>
      <c r="I10" s="19">
        <f t="shared" si="3"/>
        <v>291.25</v>
      </c>
      <c r="J10" s="20">
        <v>137</v>
      </c>
      <c r="K10" s="20">
        <v>275.3</v>
      </c>
      <c r="L10" s="28">
        <f t="shared" si="4"/>
        <v>154.25</v>
      </c>
      <c r="M10" s="21">
        <v>82</v>
      </c>
      <c r="N10" s="49">
        <v>39448</v>
      </c>
      <c r="O10" s="41">
        <f>DATEDIF(N10,F10,"m")</f>
        <v>70</v>
      </c>
      <c r="P10" s="41">
        <f t="shared" si="10"/>
        <v>163.1</v>
      </c>
      <c r="Q10" s="53">
        <f t="shared" si="0"/>
        <v>163.1</v>
      </c>
      <c r="R10" s="20">
        <f t="shared" si="6"/>
        <v>81.099999999999994</v>
      </c>
      <c r="S10" s="42"/>
      <c r="T10" s="20">
        <v>18000</v>
      </c>
      <c r="U10" s="30">
        <f t="shared" si="1"/>
        <v>91282.191780821915</v>
      </c>
      <c r="V10" s="32">
        <f t="shared" si="8"/>
        <v>47993.42465753424</v>
      </c>
    </row>
    <row r="11" spans="1:22" ht="30.75" customHeight="1" x14ac:dyDescent="0.15">
      <c r="A11" s="7" t="s">
        <v>32</v>
      </c>
      <c r="B11" s="7" t="s">
        <v>18</v>
      </c>
      <c r="C11" s="7" t="s">
        <v>53</v>
      </c>
      <c r="D11" s="9">
        <v>57</v>
      </c>
      <c r="E11" s="25">
        <v>39456</v>
      </c>
      <c r="F11" s="10">
        <v>41579</v>
      </c>
      <c r="G11" s="11">
        <f t="shared" si="2"/>
        <v>69</v>
      </c>
      <c r="H11" s="20">
        <v>5.0199999999999996</v>
      </c>
      <c r="I11" s="19">
        <f t="shared" si="3"/>
        <v>160.77000000000001</v>
      </c>
      <c r="J11" s="20">
        <f>114+31</f>
        <v>145</v>
      </c>
      <c r="K11" s="20">
        <v>144.66</v>
      </c>
      <c r="L11" s="28">
        <f t="shared" si="4"/>
        <v>15.77000000000001</v>
      </c>
      <c r="M11" s="21">
        <f>57+5</f>
        <v>62</v>
      </c>
      <c r="N11" s="49">
        <v>39448</v>
      </c>
      <c r="O11" s="41">
        <f>DATEDIF(E11,F11,"m")</f>
        <v>69</v>
      </c>
      <c r="P11" s="41">
        <f t="shared" si="10"/>
        <v>160.77000000000001</v>
      </c>
      <c r="Q11" s="53">
        <f t="shared" si="0"/>
        <v>160.77000000000001</v>
      </c>
      <c r="R11" s="20">
        <f t="shared" si="6"/>
        <v>98.77000000000001</v>
      </c>
      <c r="S11" s="20">
        <f t="shared" si="7"/>
        <v>83</v>
      </c>
      <c r="T11" s="20">
        <v>12000</v>
      </c>
      <c r="U11" s="30">
        <f t="shared" si="1"/>
        <v>6221.5890410958946</v>
      </c>
      <c r="V11" s="32">
        <f t="shared" si="8"/>
        <v>38966.794520547948</v>
      </c>
    </row>
    <row r="12" spans="1:22" ht="30.75" customHeight="1" x14ac:dyDescent="0.15">
      <c r="A12" s="7" t="s">
        <v>32</v>
      </c>
      <c r="B12" s="7" t="s">
        <v>18</v>
      </c>
      <c r="C12" s="7" t="s">
        <v>54</v>
      </c>
      <c r="D12" s="9">
        <v>111</v>
      </c>
      <c r="E12" s="25">
        <v>40603</v>
      </c>
      <c r="F12" s="10">
        <v>41579</v>
      </c>
      <c r="G12" s="11">
        <f t="shared" si="2"/>
        <v>32</v>
      </c>
      <c r="H12" s="20">
        <v>2.0099999999999998</v>
      </c>
      <c r="I12" s="19">
        <f t="shared" si="3"/>
        <v>74.56</v>
      </c>
      <c r="J12" s="20">
        <v>70</v>
      </c>
      <c r="K12" s="20">
        <v>58.33</v>
      </c>
      <c r="L12" s="28">
        <f t="shared" si="4"/>
        <v>4.5600000000000023</v>
      </c>
      <c r="M12" s="21">
        <v>70</v>
      </c>
      <c r="N12" s="47">
        <f t="shared" ref="N12" si="12">E12</f>
        <v>40603</v>
      </c>
      <c r="O12" s="41">
        <f t="shared" ref="O12" si="13">DATEDIF(N12,F12,"m")</f>
        <v>32</v>
      </c>
      <c r="P12" s="41">
        <f t="shared" si="10"/>
        <v>74.56</v>
      </c>
      <c r="Q12" s="53">
        <f t="shared" si="0"/>
        <v>74.56</v>
      </c>
      <c r="R12" s="20">
        <f t="shared" si="6"/>
        <v>4.5600000000000023</v>
      </c>
      <c r="S12" s="20">
        <f t="shared" si="7"/>
        <v>0</v>
      </c>
      <c r="T12" s="20">
        <v>12000</v>
      </c>
      <c r="U12" s="30">
        <f t="shared" si="1"/>
        <v>1799.0136986301379</v>
      </c>
      <c r="V12" s="32">
        <f t="shared" si="8"/>
        <v>1799.0136986301379</v>
      </c>
    </row>
    <row r="13" spans="1:22" ht="30.75" customHeight="1" x14ac:dyDescent="0.15">
      <c r="A13" s="7" t="s">
        <v>32</v>
      </c>
      <c r="B13" s="7" t="s">
        <v>18</v>
      </c>
      <c r="C13" s="7" t="s">
        <v>55</v>
      </c>
      <c r="D13" s="9">
        <v>50</v>
      </c>
      <c r="E13" s="25">
        <v>39387</v>
      </c>
      <c r="F13" s="10">
        <v>41579</v>
      </c>
      <c r="G13" s="11">
        <f t="shared" si="2"/>
        <v>72</v>
      </c>
      <c r="H13" s="20">
        <v>5.05</v>
      </c>
      <c r="I13" s="19">
        <f t="shared" si="3"/>
        <v>167.76</v>
      </c>
      <c r="J13" s="20">
        <f>129+31</f>
        <v>160</v>
      </c>
      <c r="K13" s="20">
        <v>151.65</v>
      </c>
      <c r="L13" s="28">
        <f t="shared" si="4"/>
        <v>7.7599999999999909</v>
      </c>
      <c r="M13" s="21">
        <v>59</v>
      </c>
      <c r="N13" s="49">
        <v>39448</v>
      </c>
      <c r="O13" s="41">
        <f>DATEDIF(N13,F13,"m")</f>
        <v>70</v>
      </c>
      <c r="P13" s="41">
        <f t="shared" si="10"/>
        <v>163.1</v>
      </c>
      <c r="Q13" s="53">
        <f t="shared" si="0"/>
        <v>163.1</v>
      </c>
      <c r="R13" s="20">
        <f t="shared" si="6"/>
        <v>104.1</v>
      </c>
      <c r="S13" s="20">
        <f t="shared" si="7"/>
        <v>101</v>
      </c>
      <c r="T13" s="20">
        <v>12000</v>
      </c>
      <c r="U13" s="30">
        <f t="shared" si="1"/>
        <v>3061.4794520547907</v>
      </c>
      <c r="V13" s="32">
        <f t="shared" si="8"/>
        <v>41069.589041095889</v>
      </c>
    </row>
    <row r="14" spans="1:22" ht="30.75" customHeight="1" x14ac:dyDescent="0.15">
      <c r="A14" s="7" t="s">
        <v>32</v>
      </c>
      <c r="B14" s="7" t="s">
        <v>18</v>
      </c>
      <c r="C14" s="7" t="s">
        <v>137</v>
      </c>
      <c r="D14" s="9">
        <v>156</v>
      </c>
      <c r="E14" s="25">
        <v>41344</v>
      </c>
      <c r="F14" s="10">
        <v>41579</v>
      </c>
      <c r="G14" s="11">
        <f t="shared" si="2"/>
        <v>7</v>
      </c>
      <c r="H14" s="19"/>
      <c r="I14" s="19">
        <f t="shared" si="3"/>
        <v>16.310000000000002</v>
      </c>
      <c r="J14" s="20">
        <f>1+1</f>
        <v>2</v>
      </c>
      <c r="K14" s="20"/>
      <c r="L14" s="28">
        <f t="shared" si="4"/>
        <v>14.310000000000002</v>
      </c>
      <c r="M14" s="21">
        <f>2+1</f>
        <v>3</v>
      </c>
      <c r="N14" s="25">
        <v>41344</v>
      </c>
      <c r="O14" s="41">
        <f>DATEDIF(N14,F14,"m")</f>
        <v>7</v>
      </c>
      <c r="P14" s="41">
        <f t="shared" si="10"/>
        <v>16.310000000000002</v>
      </c>
      <c r="Q14" s="53">
        <f t="shared" si="0"/>
        <v>16.310000000000002</v>
      </c>
      <c r="R14" s="20">
        <f t="shared" si="6"/>
        <v>13.310000000000002</v>
      </c>
      <c r="S14" s="20">
        <f t="shared" si="7"/>
        <v>-1</v>
      </c>
      <c r="T14" s="20">
        <v>12000</v>
      </c>
      <c r="U14" s="30">
        <f t="shared" si="1"/>
        <v>5645.5890410958909</v>
      </c>
      <c r="V14" s="32">
        <f t="shared" si="8"/>
        <v>5251.0684931506858</v>
      </c>
    </row>
    <row r="15" spans="1:22" ht="30.75" customHeight="1" x14ac:dyDescent="0.15">
      <c r="A15" s="7" t="s">
        <v>32</v>
      </c>
      <c r="B15" s="7" t="s">
        <v>18</v>
      </c>
      <c r="C15" s="12" t="s">
        <v>52</v>
      </c>
      <c r="D15" s="9">
        <v>141</v>
      </c>
      <c r="E15" s="25">
        <v>41155</v>
      </c>
      <c r="F15" s="10">
        <v>41579</v>
      </c>
      <c r="G15" s="11">
        <f t="shared" si="2"/>
        <v>13</v>
      </c>
      <c r="H15" s="20">
        <v>0.06</v>
      </c>
      <c r="I15" s="19">
        <f t="shared" si="3"/>
        <v>30.29</v>
      </c>
      <c r="J15" s="20">
        <f>35+7</f>
        <v>42</v>
      </c>
      <c r="K15" s="20">
        <v>13.98</v>
      </c>
      <c r="L15" s="28">
        <f t="shared" si="4"/>
        <v>-11.71</v>
      </c>
      <c r="M15" s="21">
        <f>35+7</f>
        <v>42</v>
      </c>
      <c r="N15" s="47">
        <f t="shared" ref="N15" si="14">E15</f>
        <v>41155</v>
      </c>
      <c r="O15" s="41">
        <f t="shared" ref="O15" si="15">DATEDIF(N15,F15,"m")</f>
        <v>13</v>
      </c>
      <c r="P15" s="41">
        <f t="shared" si="10"/>
        <v>30.29</v>
      </c>
      <c r="Q15" s="53">
        <f t="shared" si="0"/>
        <v>30.29</v>
      </c>
      <c r="R15" s="20">
        <f t="shared" si="6"/>
        <v>-11.71</v>
      </c>
      <c r="S15" s="20">
        <f t="shared" si="7"/>
        <v>0</v>
      </c>
      <c r="T15" s="20">
        <v>12000</v>
      </c>
      <c r="U15" s="30">
        <f t="shared" si="1"/>
        <v>-4619.8356164383567</v>
      </c>
      <c r="V15" s="32">
        <f t="shared" si="8"/>
        <v>-4619.8356164383567</v>
      </c>
    </row>
    <row r="16" spans="1:22" ht="30.75" customHeight="1" x14ac:dyDescent="0.15">
      <c r="A16" s="7" t="s">
        <v>34</v>
      </c>
      <c r="B16" s="7" t="s">
        <v>21</v>
      </c>
      <c r="C16" s="7" t="s">
        <v>20</v>
      </c>
      <c r="D16" s="9">
        <v>39</v>
      </c>
      <c r="E16" s="25">
        <v>39052</v>
      </c>
      <c r="F16" s="10">
        <v>41579</v>
      </c>
      <c r="G16" s="11">
        <f t="shared" si="2"/>
        <v>83</v>
      </c>
      <c r="H16" s="20">
        <v>6.04</v>
      </c>
      <c r="I16" s="19">
        <f t="shared" si="3"/>
        <v>193.39000000000001</v>
      </c>
      <c r="J16" s="20">
        <f>165+14+7</f>
        <v>186</v>
      </c>
      <c r="K16" s="20">
        <v>177.32</v>
      </c>
      <c r="L16" s="28">
        <f t="shared" si="4"/>
        <v>7.3900000000000148</v>
      </c>
      <c r="M16" s="21">
        <f>119+14+7</f>
        <v>140</v>
      </c>
      <c r="N16" s="49">
        <v>39448</v>
      </c>
      <c r="O16" s="41">
        <f>DATEDIF(N16,F16,"m")</f>
        <v>70</v>
      </c>
      <c r="P16" s="41">
        <f t="shared" si="10"/>
        <v>163.1</v>
      </c>
      <c r="Q16" s="53">
        <f t="shared" si="0"/>
        <v>163.1</v>
      </c>
      <c r="R16" s="20">
        <f t="shared" si="6"/>
        <v>23.099999999999994</v>
      </c>
      <c r="S16" s="42"/>
      <c r="T16" s="20">
        <v>13000</v>
      </c>
      <c r="U16" s="30">
        <f t="shared" si="1"/>
        <v>3158.4657534246639</v>
      </c>
      <c r="V16" s="32">
        <f t="shared" si="8"/>
        <v>9872.8767123287653</v>
      </c>
    </row>
    <row r="17" spans="1:22" ht="30.75" customHeight="1" x14ac:dyDescent="0.15">
      <c r="A17" s="7" t="s">
        <v>30</v>
      </c>
      <c r="B17" s="7" t="s">
        <v>22</v>
      </c>
      <c r="C17" s="7" t="s">
        <v>23</v>
      </c>
      <c r="D17" s="9">
        <v>19</v>
      </c>
      <c r="E17" s="25">
        <v>38166</v>
      </c>
      <c r="F17" s="10">
        <v>41579</v>
      </c>
      <c r="G17" s="11">
        <f t="shared" si="2"/>
        <v>112</v>
      </c>
      <c r="H17" s="20">
        <v>8.09</v>
      </c>
      <c r="I17" s="19">
        <f t="shared" si="3"/>
        <v>260.96000000000004</v>
      </c>
      <c r="J17" s="20">
        <f>110+15+1</f>
        <v>126</v>
      </c>
      <c r="K17" s="20">
        <v>244.97</v>
      </c>
      <c r="L17" s="28">
        <f t="shared" si="4"/>
        <v>134.96000000000004</v>
      </c>
      <c r="M17" s="21">
        <f>71+1</f>
        <v>72</v>
      </c>
      <c r="N17" s="49">
        <v>39448</v>
      </c>
      <c r="O17" s="41">
        <f>DATEDIF(N17,F17,"m")</f>
        <v>70</v>
      </c>
      <c r="P17" s="41">
        <f t="shared" si="10"/>
        <v>163.1</v>
      </c>
      <c r="Q17" s="53">
        <f t="shared" si="0"/>
        <v>163.1</v>
      </c>
      <c r="R17" s="20">
        <f t="shared" si="6"/>
        <v>91.1</v>
      </c>
      <c r="S17" s="42"/>
      <c r="T17" s="20">
        <v>24000</v>
      </c>
      <c r="U17" s="30">
        <f t="shared" si="1"/>
        <v>106488.98630136989</v>
      </c>
      <c r="V17" s="32">
        <f t="shared" si="8"/>
        <v>71881.643835616429</v>
      </c>
    </row>
    <row r="18" spans="1:22" ht="30.75" customHeight="1" x14ac:dyDescent="0.15">
      <c r="A18" s="7" t="s">
        <v>30</v>
      </c>
      <c r="B18" s="7" t="s">
        <v>24</v>
      </c>
      <c r="C18" s="7" t="s">
        <v>25</v>
      </c>
      <c r="D18" s="9">
        <v>113</v>
      </c>
      <c r="E18" s="25">
        <v>40623</v>
      </c>
      <c r="F18" s="10">
        <v>41579</v>
      </c>
      <c r="G18" s="11">
        <f t="shared" si="2"/>
        <v>31</v>
      </c>
      <c r="H18" s="19">
        <v>2</v>
      </c>
      <c r="I18" s="19">
        <f t="shared" si="3"/>
        <v>72.23</v>
      </c>
      <c r="J18" s="20">
        <v>64</v>
      </c>
      <c r="K18" s="20">
        <v>56</v>
      </c>
      <c r="L18" s="28">
        <f t="shared" si="4"/>
        <v>8.230000000000004</v>
      </c>
      <c r="M18" s="21">
        <v>60</v>
      </c>
      <c r="N18" s="47">
        <f t="shared" ref="N18:N19" si="16">E18</f>
        <v>40623</v>
      </c>
      <c r="O18" s="41">
        <f t="shared" ref="O18:O19" si="17">DATEDIF(N18,F18,"m")</f>
        <v>31</v>
      </c>
      <c r="P18" s="41">
        <f t="shared" si="10"/>
        <v>72.23</v>
      </c>
      <c r="Q18" s="53">
        <f t="shared" si="0"/>
        <v>72.23</v>
      </c>
      <c r="R18" s="20">
        <f t="shared" si="6"/>
        <v>12.230000000000004</v>
      </c>
      <c r="S18" s="20">
        <f t="shared" si="7"/>
        <v>4</v>
      </c>
      <c r="T18" s="20">
        <v>13000</v>
      </c>
      <c r="U18" s="30">
        <f t="shared" si="1"/>
        <v>3517.4794520547962</v>
      </c>
      <c r="V18" s="32">
        <f t="shared" si="8"/>
        <v>5227.0684931506867</v>
      </c>
    </row>
    <row r="19" spans="1:22" ht="30.75" customHeight="1" x14ac:dyDescent="0.15">
      <c r="A19" s="7" t="s">
        <v>30</v>
      </c>
      <c r="B19" s="7" t="s">
        <v>24</v>
      </c>
      <c r="C19" s="7" t="s">
        <v>57</v>
      </c>
      <c r="D19" s="9">
        <v>154</v>
      </c>
      <c r="E19" s="25">
        <v>41309</v>
      </c>
      <c r="F19" s="10">
        <v>41579</v>
      </c>
      <c r="G19" s="11">
        <f t="shared" si="2"/>
        <v>8</v>
      </c>
      <c r="H19" s="20">
        <v>0.01</v>
      </c>
      <c r="I19" s="19">
        <f t="shared" si="3"/>
        <v>18.64</v>
      </c>
      <c r="J19" s="20">
        <f>1+7</f>
        <v>8</v>
      </c>
      <c r="K19" s="20">
        <v>0</v>
      </c>
      <c r="L19" s="28">
        <f t="shared" si="4"/>
        <v>10.64</v>
      </c>
      <c r="M19" s="21">
        <f>1+7</f>
        <v>8</v>
      </c>
      <c r="N19" s="47">
        <f t="shared" si="16"/>
        <v>41309</v>
      </c>
      <c r="O19" s="41">
        <f t="shared" si="17"/>
        <v>8</v>
      </c>
      <c r="P19" s="41">
        <f t="shared" si="10"/>
        <v>18.64</v>
      </c>
      <c r="Q19" s="53">
        <f t="shared" si="0"/>
        <v>18.64</v>
      </c>
      <c r="R19" s="20">
        <f t="shared" si="6"/>
        <v>10.64</v>
      </c>
      <c r="S19" s="20">
        <f t="shared" si="7"/>
        <v>0</v>
      </c>
      <c r="T19" s="20">
        <v>13000</v>
      </c>
      <c r="U19" s="30">
        <f t="shared" si="1"/>
        <v>4547.5068493150693</v>
      </c>
      <c r="V19" s="32">
        <f t="shared" si="8"/>
        <v>4547.5068493150693</v>
      </c>
    </row>
    <row r="20" spans="1:22" ht="29.25" customHeight="1" x14ac:dyDescent="0.15">
      <c r="A20" s="7" t="s">
        <v>30</v>
      </c>
      <c r="B20" s="7" t="s">
        <v>24</v>
      </c>
      <c r="C20" s="7" t="s">
        <v>29</v>
      </c>
      <c r="D20" s="9">
        <v>53</v>
      </c>
      <c r="E20" s="25">
        <v>39419</v>
      </c>
      <c r="F20" s="10">
        <v>41579</v>
      </c>
      <c r="G20" s="11">
        <f t="shared" si="2"/>
        <v>70</v>
      </c>
      <c r="H20" s="20">
        <v>5.03</v>
      </c>
      <c r="I20" s="19">
        <f t="shared" si="3"/>
        <v>163.1</v>
      </c>
      <c r="J20" s="20">
        <f>159+2</f>
        <v>161</v>
      </c>
      <c r="K20" s="20">
        <v>146.99</v>
      </c>
      <c r="L20" s="28">
        <f t="shared" si="4"/>
        <v>2.0999999999999943</v>
      </c>
      <c r="M20" s="21">
        <f>161+2</f>
        <v>163</v>
      </c>
      <c r="N20" s="49">
        <v>39448</v>
      </c>
      <c r="O20" s="41">
        <f>DATEDIF(N20,F20,"m")</f>
        <v>70</v>
      </c>
      <c r="P20" s="41">
        <f>O20*2.33</f>
        <v>163.1</v>
      </c>
      <c r="Q20" s="53">
        <f t="shared" si="0"/>
        <v>163.1</v>
      </c>
      <c r="R20" s="20">
        <f t="shared" si="6"/>
        <v>9.9999999999994316E-2</v>
      </c>
      <c r="S20" s="20">
        <f t="shared" si="7"/>
        <v>-2</v>
      </c>
      <c r="T20" s="20">
        <v>13000</v>
      </c>
      <c r="U20" s="30">
        <f t="shared" si="1"/>
        <v>897.53424657534003</v>
      </c>
      <c r="V20" s="32">
        <f t="shared" si="8"/>
        <v>42.739726027394831</v>
      </c>
    </row>
    <row r="21" spans="1:22" ht="0.75" customHeight="1" x14ac:dyDescent="0.15">
      <c r="A21" s="7" t="s">
        <v>35</v>
      </c>
      <c r="B21" s="7" t="s">
        <v>127</v>
      </c>
      <c r="C21" s="7"/>
      <c r="D21" s="9"/>
      <c r="E21" s="25"/>
      <c r="F21" s="10">
        <v>41579</v>
      </c>
      <c r="G21" s="11"/>
      <c r="H21" s="20"/>
      <c r="I21" s="19"/>
      <c r="J21" s="20"/>
      <c r="K21" s="20"/>
      <c r="L21" s="28"/>
      <c r="M21" s="20"/>
      <c r="N21" s="47"/>
      <c r="O21" s="41"/>
      <c r="P21" s="41"/>
      <c r="Q21" s="53"/>
      <c r="R21" s="20"/>
      <c r="S21" s="20">
        <f t="shared" si="7"/>
        <v>0</v>
      </c>
      <c r="T21" s="20"/>
      <c r="U21" s="30"/>
      <c r="V21" s="32"/>
    </row>
    <row r="22" spans="1:22" ht="30.75" customHeight="1" x14ac:dyDescent="0.15">
      <c r="A22" s="7" t="s">
        <v>35</v>
      </c>
      <c r="B22" s="7" t="s">
        <v>27</v>
      </c>
      <c r="C22" s="7" t="s">
        <v>36</v>
      </c>
      <c r="D22" s="9">
        <v>114</v>
      </c>
      <c r="E22" s="25">
        <v>40639</v>
      </c>
      <c r="F22" s="10">
        <v>41579</v>
      </c>
      <c r="G22" s="11">
        <f t="shared" si="2"/>
        <v>30</v>
      </c>
      <c r="H22" s="20">
        <v>1.1100000000000001</v>
      </c>
      <c r="I22" s="19">
        <f t="shared" si="3"/>
        <v>69.900000000000006</v>
      </c>
      <c r="J22" s="20">
        <f>59+7</f>
        <v>66</v>
      </c>
      <c r="K22" s="20">
        <v>53.63</v>
      </c>
      <c r="L22" s="28">
        <f t="shared" si="4"/>
        <v>3.9000000000000057</v>
      </c>
      <c r="M22" s="20">
        <f>43+14+7</f>
        <v>64</v>
      </c>
      <c r="N22" s="47">
        <f t="shared" ref="N22:N25" si="18">E22</f>
        <v>40639</v>
      </c>
      <c r="O22" s="41">
        <f t="shared" ref="O22:O25" si="19">DATEDIF(N22,F22,"m")</f>
        <v>30</v>
      </c>
      <c r="P22" s="41">
        <f>O22*2.33</f>
        <v>69.900000000000006</v>
      </c>
      <c r="Q22" s="53">
        <f t="shared" si="0"/>
        <v>69.900000000000006</v>
      </c>
      <c r="R22" s="20">
        <f t="shared" si="6"/>
        <v>5.9000000000000057</v>
      </c>
      <c r="S22" s="20">
        <f t="shared" si="7"/>
        <v>2</v>
      </c>
      <c r="T22" s="20">
        <v>14000</v>
      </c>
      <c r="U22" s="30">
        <f t="shared" si="1"/>
        <v>1795.0684931506876</v>
      </c>
      <c r="V22" s="32">
        <f t="shared" si="8"/>
        <v>2715.6164383561668</v>
      </c>
    </row>
    <row r="23" spans="1:22" ht="30.75" customHeight="1" x14ac:dyDescent="0.15">
      <c r="A23" s="13" t="s">
        <v>37</v>
      </c>
      <c r="B23" s="7" t="s">
        <v>38</v>
      </c>
      <c r="C23" s="7" t="s">
        <v>39</v>
      </c>
      <c r="D23" s="9">
        <v>13</v>
      </c>
      <c r="E23" s="25">
        <v>40269</v>
      </c>
      <c r="F23" s="10">
        <v>41579</v>
      </c>
      <c r="G23" s="11">
        <f t="shared" si="2"/>
        <v>43</v>
      </c>
      <c r="H23" s="19">
        <v>3</v>
      </c>
      <c r="I23" s="19">
        <f t="shared" si="3"/>
        <v>100.19</v>
      </c>
      <c r="J23" s="20">
        <v>45</v>
      </c>
      <c r="K23" s="20">
        <v>84</v>
      </c>
      <c r="L23" s="28">
        <f t="shared" si="4"/>
        <v>55.19</v>
      </c>
      <c r="M23" s="20">
        <v>105</v>
      </c>
      <c r="N23" s="47">
        <f t="shared" si="18"/>
        <v>40269</v>
      </c>
      <c r="O23" s="41">
        <f t="shared" si="19"/>
        <v>43</v>
      </c>
      <c r="P23" s="41">
        <f t="shared" si="10"/>
        <v>100.19</v>
      </c>
      <c r="Q23" s="53">
        <f t="shared" si="0"/>
        <v>100.19</v>
      </c>
      <c r="R23" s="20">
        <f t="shared" si="6"/>
        <v>-4.8100000000000023</v>
      </c>
      <c r="S23" s="20">
        <f t="shared" si="7"/>
        <v>-60</v>
      </c>
      <c r="T23" s="20">
        <v>12000</v>
      </c>
      <c r="U23" s="30">
        <f t="shared" si="1"/>
        <v>21773.589041095889</v>
      </c>
      <c r="V23" s="32">
        <f t="shared" si="8"/>
        <v>-1897.6438356164392</v>
      </c>
    </row>
    <row r="24" spans="1:22" ht="30.75" customHeight="1" x14ac:dyDescent="0.15">
      <c r="A24" s="13" t="s">
        <v>37</v>
      </c>
      <c r="B24" s="7" t="s">
        <v>121</v>
      </c>
      <c r="C24" s="7" t="s">
        <v>40</v>
      </c>
      <c r="D24" s="9">
        <v>93</v>
      </c>
      <c r="E24" s="25">
        <v>40269</v>
      </c>
      <c r="F24" s="10">
        <v>41579</v>
      </c>
      <c r="G24" s="11">
        <f t="shared" si="2"/>
        <v>43</v>
      </c>
      <c r="H24" s="19">
        <v>3</v>
      </c>
      <c r="I24" s="19">
        <f t="shared" si="3"/>
        <v>100.19</v>
      </c>
      <c r="J24" s="20">
        <v>90</v>
      </c>
      <c r="K24" s="20">
        <v>84</v>
      </c>
      <c r="L24" s="28">
        <f t="shared" si="4"/>
        <v>10.189999999999998</v>
      </c>
      <c r="M24" s="20">
        <v>92</v>
      </c>
      <c r="N24" s="47">
        <f t="shared" si="18"/>
        <v>40269</v>
      </c>
      <c r="O24" s="41">
        <f t="shared" si="19"/>
        <v>43</v>
      </c>
      <c r="P24" s="41">
        <f t="shared" si="10"/>
        <v>100.19</v>
      </c>
      <c r="Q24" s="53">
        <f t="shared" si="0"/>
        <v>100.19</v>
      </c>
      <c r="R24" s="20">
        <f t="shared" si="6"/>
        <v>8.1899999999999977</v>
      </c>
      <c r="S24" s="20">
        <f t="shared" si="7"/>
        <v>-2</v>
      </c>
      <c r="T24" s="20">
        <v>13000</v>
      </c>
      <c r="U24" s="30">
        <f t="shared" si="1"/>
        <v>4355.17808219178</v>
      </c>
      <c r="V24" s="32">
        <f t="shared" si="8"/>
        <v>3500.3835616438346</v>
      </c>
    </row>
    <row r="25" spans="1:22" ht="30.75" customHeight="1" x14ac:dyDescent="0.15">
      <c r="A25" s="13" t="s">
        <v>37</v>
      </c>
      <c r="B25" s="7" t="s">
        <v>121</v>
      </c>
      <c r="C25" s="7" t="s">
        <v>41</v>
      </c>
      <c r="D25" s="9">
        <v>116</v>
      </c>
      <c r="E25" s="25">
        <v>40695</v>
      </c>
      <c r="F25" s="10">
        <v>41579</v>
      </c>
      <c r="G25" s="11">
        <f t="shared" si="2"/>
        <v>29</v>
      </c>
      <c r="H25" s="19">
        <v>1.1000000000000001</v>
      </c>
      <c r="I25" s="19">
        <f t="shared" si="3"/>
        <v>67.570000000000007</v>
      </c>
      <c r="J25" s="20">
        <v>56</v>
      </c>
      <c r="K25" s="20">
        <v>51.3</v>
      </c>
      <c r="L25" s="28">
        <f t="shared" si="4"/>
        <v>11.570000000000007</v>
      </c>
      <c r="M25" s="20">
        <v>57</v>
      </c>
      <c r="N25" s="47">
        <f t="shared" si="18"/>
        <v>40695</v>
      </c>
      <c r="O25" s="41">
        <f t="shared" si="19"/>
        <v>29</v>
      </c>
      <c r="P25" s="41">
        <f t="shared" si="10"/>
        <v>67.570000000000007</v>
      </c>
      <c r="Q25" s="53">
        <f t="shared" si="0"/>
        <v>67.570000000000007</v>
      </c>
      <c r="R25" s="20">
        <f t="shared" si="6"/>
        <v>10.570000000000007</v>
      </c>
      <c r="S25" s="20">
        <f t="shared" si="7"/>
        <v>-1</v>
      </c>
      <c r="T25" s="20">
        <v>13000</v>
      </c>
      <c r="U25" s="30">
        <f t="shared" si="1"/>
        <v>4944.9863013698659</v>
      </c>
      <c r="V25" s="32">
        <f t="shared" si="8"/>
        <v>4517.5890410958937</v>
      </c>
    </row>
    <row r="26" spans="1:22" ht="30.75" customHeight="1" x14ac:dyDescent="0.15">
      <c r="A26" s="13" t="s">
        <v>37</v>
      </c>
      <c r="B26" s="7" t="s">
        <v>13</v>
      </c>
      <c r="C26" s="7" t="s">
        <v>43</v>
      </c>
      <c r="D26" s="9">
        <v>25</v>
      </c>
      <c r="E26" s="25">
        <v>38534</v>
      </c>
      <c r="F26" s="10">
        <v>41579</v>
      </c>
      <c r="G26" s="11">
        <f t="shared" si="2"/>
        <v>100</v>
      </c>
      <c r="H26" s="20">
        <v>7.09</v>
      </c>
      <c r="I26" s="19">
        <f t="shared" si="3"/>
        <v>233</v>
      </c>
      <c r="J26" s="20">
        <f>180+14</f>
        <v>194</v>
      </c>
      <c r="K26" s="20">
        <v>216.97</v>
      </c>
      <c r="L26" s="28">
        <f t="shared" si="4"/>
        <v>39</v>
      </c>
      <c r="M26" s="20">
        <f>154+14</f>
        <v>168</v>
      </c>
      <c r="N26" s="49">
        <v>39448</v>
      </c>
      <c r="O26" s="41">
        <f>DATEDIF(N26,F26,"m")</f>
        <v>70</v>
      </c>
      <c r="P26" s="41">
        <f>O26*2.33</f>
        <v>163.1</v>
      </c>
      <c r="Q26" s="53">
        <f t="shared" si="0"/>
        <v>163.1</v>
      </c>
      <c r="R26" s="20">
        <f t="shared" si="6"/>
        <v>-4.9000000000000057</v>
      </c>
      <c r="S26" s="42"/>
      <c r="T26" s="20">
        <v>18000</v>
      </c>
      <c r="U26" s="30">
        <f t="shared" si="1"/>
        <v>23079.452054794521</v>
      </c>
      <c r="V26" s="32">
        <f t="shared" si="8"/>
        <v>-2899.7260273972638</v>
      </c>
    </row>
    <row r="27" spans="1:22" ht="30.75" customHeight="1" x14ac:dyDescent="0.15">
      <c r="A27" s="13" t="s">
        <v>37</v>
      </c>
      <c r="B27" s="7" t="s">
        <v>121</v>
      </c>
      <c r="C27" s="7" t="s">
        <v>44</v>
      </c>
      <c r="D27" s="9">
        <v>117</v>
      </c>
      <c r="E27" s="25">
        <v>40695</v>
      </c>
      <c r="F27" s="10">
        <v>41579</v>
      </c>
      <c r="G27" s="11">
        <f t="shared" si="2"/>
        <v>29</v>
      </c>
      <c r="H27" s="19">
        <v>1.1000000000000001</v>
      </c>
      <c r="I27" s="19">
        <f t="shared" si="3"/>
        <v>67.570000000000007</v>
      </c>
      <c r="J27" s="20">
        <f>53+1</f>
        <v>54</v>
      </c>
      <c r="K27" s="20">
        <v>51.3</v>
      </c>
      <c r="L27" s="28">
        <f t="shared" si="4"/>
        <v>13.570000000000007</v>
      </c>
      <c r="M27" s="20">
        <f>53+1</f>
        <v>54</v>
      </c>
      <c r="N27" s="47">
        <f t="shared" ref="N27:N33" si="20">E27</f>
        <v>40695</v>
      </c>
      <c r="O27" s="41">
        <f t="shared" ref="O27:O33" si="21">DATEDIF(N27,F27,"m")</f>
        <v>29</v>
      </c>
      <c r="P27" s="41">
        <f t="shared" si="10"/>
        <v>67.570000000000007</v>
      </c>
      <c r="Q27" s="53">
        <f t="shared" si="0"/>
        <v>67.570000000000007</v>
      </c>
      <c r="R27" s="20">
        <f t="shared" si="6"/>
        <v>13.570000000000007</v>
      </c>
      <c r="S27" s="20">
        <f t="shared" si="7"/>
        <v>0</v>
      </c>
      <c r="T27" s="20">
        <v>13000</v>
      </c>
      <c r="U27" s="30">
        <f t="shared" si="1"/>
        <v>5799.7808219178114</v>
      </c>
      <c r="V27" s="32">
        <f t="shared" si="8"/>
        <v>5799.7808219178114</v>
      </c>
    </row>
    <row r="28" spans="1:22" ht="30.75" customHeight="1" x14ac:dyDescent="0.15">
      <c r="A28" s="13" t="s">
        <v>37</v>
      </c>
      <c r="B28" s="7" t="s">
        <v>11</v>
      </c>
      <c r="C28" s="13" t="s">
        <v>49</v>
      </c>
      <c r="D28" s="9">
        <v>149</v>
      </c>
      <c r="E28" s="25">
        <v>41260</v>
      </c>
      <c r="F28" s="10">
        <v>41579</v>
      </c>
      <c r="G28" s="11">
        <f t="shared" si="2"/>
        <v>10</v>
      </c>
      <c r="H28" s="20">
        <v>0.03</v>
      </c>
      <c r="I28" s="19">
        <f t="shared" si="3"/>
        <v>23.3</v>
      </c>
      <c r="J28" s="20">
        <v>0</v>
      </c>
      <c r="K28" s="20">
        <v>6.99</v>
      </c>
      <c r="L28" s="28">
        <f t="shared" si="4"/>
        <v>23.3</v>
      </c>
      <c r="M28" s="20">
        <v>9</v>
      </c>
      <c r="N28" s="47">
        <f t="shared" si="20"/>
        <v>41260</v>
      </c>
      <c r="O28" s="41">
        <f t="shared" si="21"/>
        <v>10</v>
      </c>
      <c r="P28" s="41">
        <f t="shared" si="10"/>
        <v>23.3</v>
      </c>
      <c r="Q28" s="53">
        <f t="shared" si="0"/>
        <v>23.3</v>
      </c>
      <c r="R28" s="20">
        <f t="shared" si="6"/>
        <v>14.3</v>
      </c>
      <c r="S28" s="20">
        <f t="shared" si="7"/>
        <v>-9</v>
      </c>
      <c r="T28" s="20">
        <v>13000</v>
      </c>
      <c r="U28" s="30">
        <f t="shared" si="1"/>
        <v>9958.3561643835619</v>
      </c>
      <c r="V28" s="32">
        <f t="shared" si="8"/>
        <v>6111.7808219178087</v>
      </c>
    </row>
    <row r="29" spans="1:22" ht="30.75" customHeight="1" x14ac:dyDescent="0.15">
      <c r="A29" s="13" t="s">
        <v>37</v>
      </c>
      <c r="B29" s="7" t="s">
        <v>122</v>
      </c>
      <c r="C29" s="13" t="s">
        <v>50</v>
      </c>
      <c r="D29" s="9">
        <v>153</v>
      </c>
      <c r="E29" s="25">
        <v>41306</v>
      </c>
      <c r="F29" s="10">
        <v>41579</v>
      </c>
      <c r="G29" s="11">
        <f t="shared" si="2"/>
        <v>9</v>
      </c>
      <c r="H29" s="20">
        <v>0.02</v>
      </c>
      <c r="I29" s="19">
        <f t="shared" si="3"/>
        <v>20.97</v>
      </c>
      <c r="J29" s="20">
        <v>14</v>
      </c>
      <c r="K29" s="20">
        <v>4.66</v>
      </c>
      <c r="L29" s="28">
        <f t="shared" si="4"/>
        <v>6.9699999999999989</v>
      </c>
      <c r="M29" s="20">
        <v>14</v>
      </c>
      <c r="N29" s="47">
        <f t="shared" si="20"/>
        <v>41306</v>
      </c>
      <c r="O29" s="41">
        <f t="shared" si="21"/>
        <v>9</v>
      </c>
      <c r="P29" s="41">
        <f t="shared" si="10"/>
        <v>20.97</v>
      </c>
      <c r="Q29" s="53">
        <f t="shared" si="0"/>
        <v>20.97</v>
      </c>
      <c r="R29" s="20">
        <f t="shared" si="6"/>
        <v>6.9699999999999989</v>
      </c>
      <c r="S29" s="20">
        <f t="shared" si="7"/>
        <v>0</v>
      </c>
      <c r="T29" s="20">
        <v>13000</v>
      </c>
      <c r="U29" s="30">
        <f t="shared" si="1"/>
        <v>2978.9589041095887</v>
      </c>
      <c r="V29" s="32">
        <f t="shared" si="8"/>
        <v>2978.9589041095887</v>
      </c>
    </row>
    <row r="30" spans="1:22" ht="30.75" customHeight="1" x14ac:dyDescent="0.15">
      <c r="A30" s="13" t="s">
        <v>37</v>
      </c>
      <c r="B30" s="7" t="s">
        <v>122</v>
      </c>
      <c r="C30" s="14"/>
      <c r="D30" s="9"/>
      <c r="E30" s="25"/>
      <c r="F30" s="10">
        <v>41579</v>
      </c>
      <c r="G30" s="11"/>
      <c r="H30" s="20"/>
      <c r="I30" s="19"/>
      <c r="J30" s="20"/>
      <c r="K30" s="20"/>
      <c r="L30" s="28"/>
      <c r="M30" s="20"/>
      <c r="N30" s="47"/>
      <c r="O30" s="41"/>
      <c r="P30" s="41"/>
      <c r="Q30" s="53"/>
      <c r="R30" s="20"/>
      <c r="S30" s="20"/>
      <c r="T30" s="20"/>
      <c r="U30" s="30"/>
      <c r="V30" s="32"/>
    </row>
    <row r="31" spans="1:22" ht="30.75" customHeight="1" x14ac:dyDescent="0.15">
      <c r="A31" s="7" t="s">
        <v>59</v>
      </c>
      <c r="B31" s="7" t="s">
        <v>38</v>
      </c>
      <c r="C31" s="15" t="s">
        <v>58</v>
      </c>
      <c r="D31" s="16">
        <v>122</v>
      </c>
      <c r="E31" s="25">
        <v>40787</v>
      </c>
      <c r="F31" s="10">
        <v>41570</v>
      </c>
      <c r="G31" s="11">
        <f t="shared" si="2"/>
        <v>25</v>
      </c>
      <c r="H31" s="20"/>
      <c r="I31" s="19"/>
      <c r="J31" s="20"/>
      <c r="K31" s="20"/>
      <c r="L31" s="28"/>
      <c r="M31" s="20"/>
      <c r="N31" s="47"/>
      <c r="O31" s="41"/>
      <c r="P31" s="41"/>
      <c r="Q31" s="53"/>
      <c r="R31" s="20"/>
      <c r="S31" s="20"/>
      <c r="T31" s="20"/>
      <c r="U31" s="30"/>
      <c r="V31" s="32"/>
    </row>
    <row r="32" spans="1:22" ht="30.75" customHeight="1" x14ac:dyDescent="0.15">
      <c r="A32" s="7" t="s">
        <v>59</v>
      </c>
      <c r="B32" s="7" t="s">
        <v>11</v>
      </c>
      <c r="C32" s="7" t="s">
        <v>60</v>
      </c>
      <c r="D32" s="9">
        <v>84</v>
      </c>
      <c r="E32" s="25">
        <v>40136</v>
      </c>
      <c r="F32" s="10">
        <v>41579</v>
      </c>
      <c r="G32" s="11">
        <f t="shared" si="2"/>
        <v>47</v>
      </c>
      <c r="H32" s="20">
        <v>3.04</v>
      </c>
      <c r="I32" s="19">
        <f t="shared" si="3"/>
        <v>109.51</v>
      </c>
      <c r="J32" s="20">
        <f>79+14</f>
        <v>93</v>
      </c>
      <c r="K32" s="20">
        <v>93.32</v>
      </c>
      <c r="L32" s="28">
        <f t="shared" si="4"/>
        <v>16.510000000000005</v>
      </c>
      <c r="M32" s="20">
        <v>114</v>
      </c>
      <c r="N32" s="47">
        <f t="shared" si="20"/>
        <v>40136</v>
      </c>
      <c r="O32" s="41">
        <f t="shared" si="21"/>
        <v>47</v>
      </c>
      <c r="P32" s="41">
        <f t="shared" si="10"/>
        <v>109.51</v>
      </c>
      <c r="Q32" s="53">
        <f t="shared" si="0"/>
        <v>109.51</v>
      </c>
      <c r="R32" s="20">
        <f t="shared" si="6"/>
        <v>-4.4899999999999949</v>
      </c>
      <c r="S32" s="20">
        <f t="shared" si="7"/>
        <v>-21</v>
      </c>
      <c r="T32" s="20">
        <v>13000</v>
      </c>
      <c r="U32" s="30">
        <f t="shared" si="1"/>
        <v>7056.3287671232902</v>
      </c>
      <c r="V32" s="32">
        <f t="shared" si="8"/>
        <v>-1919.013698630135</v>
      </c>
    </row>
    <row r="33" spans="1:22" ht="30.75" customHeight="1" x14ac:dyDescent="0.15">
      <c r="A33" s="7" t="s">
        <v>59</v>
      </c>
      <c r="B33" s="7" t="s">
        <v>13</v>
      </c>
      <c r="C33" s="7" t="s">
        <v>61</v>
      </c>
      <c r="D33" s="9">
        <v>82</v>
      </c>
      <c r="E33" s="25">
        <v>40119</v>
      </c>
      <c r="F33" s="10">
        <v>41579</v>
      </c>
      <c r="G33" s="11">
        <f t="shared" si="2"/>
        <v>47</v>
      </c>
      <c r="H33" s="20">
        <v>3.05</v>
      </c>
      <c r="I33" s="19">
        <f t="shared" si="3"/>
        <v>109.51</v>
      </c>
      <c r="J33" s="20">
        <f>94+14</f>
        <v>108</v>
      </c>
      <c r="K33" s="20">
        <v>95.65</v>
      </c>
      <c r="L33" s="28">
        <f t="shared" si="4"/>
        <v>1.5100000000000051</v>
      </c>
      <c r="M33" s="20">
        <f>90+14+10</f>
        <v>114</v>
      </c>
      <c r="N33" s="47">
        <f t="shared" si="20"/>
        <v>40119</v>
      </c>
      <c r="O33" s="41">
        <f t="shared" si="21"/>
        <v>47</v>
      </c>
      <c r="P33" s="41">
        <f t="shared" si="10"/>
        <v>109.51</v>
      </c>
      <c r="Q33" s="53">
        <f t="shared" si="0"/>
        <v>109.51</v>
      </c>
      <c r="R33" s="20">
        <f t="shared" si="6"/>
        <v>-4.4899999999999949</v>
      </c>
      <c r="S33" s="20">
        <f t="shared" si="7"/>
        <v>-6</v>
      </c>
      <c r="T33" s="20">
        <v>18000</v>
      </c>
      <c r="U33" s="30">
        <f t="shared" si="1"/>
        <v>893.58904109589344</v>
      </c>
      <c r="V33" s="32">
        <f t="shared" si="8"/>
        <v>-2657.0958904109557</v>
      </c>
    </row>
    <row r="34" spans="1:22" ht="30.75" customHeight="1" x14ac:dyDescent="0.15">
      <c r="A34" s="7" t="s">
        <v>59</v>
      </c>
      <c r="B34" s="7" t="s">
        <v>27</v>
      </c>
      <c r="C34" s="7" t="s">
        <v>62</v>
      </c>
      <c r="D34" s="9">
        <v>18</v>
      </c>
      <c r="E34" s="25">
        <v>38215</v>
      </c>
      <c r="F34" s="10">
        <v>41579</v>
      </c>
      <c r="G34" s="11">
        <f t="shared" si="2"/>
        <v>110</v>
      </c>
      <c r="H34" s="20">
        <v>8.07</v>
      </c>
      <c r="I34" s="19">
        <f t="shared" si="3"/>
        <v>256.3</v>
      </c>
      <c r="J34" s="20">
        <f>209+5</f>
        <v>214</v>
      </c>
      <c r="K34" s="20">
        <v>240.31</v>
      </c>
      <c r="L34" s="28">
        <f t="shared" si="4"/>
        <v>42.300000000000011</v>
      </c>
      <c r="M34" s="20">
        <f>147+4</f>
        <v>151</v>
      </c>
      <c r="N34" s="49">
        <v>39448</v>
      </c>
      <c r="O34" s="41">
        <f>DATEDIF(N34,F34,"m")</f>
        <v>70</v>
      </c>
      <c r="P34" s="41">
        <f t="shared" si="10"/>
        <v>163.1</v>
      </c>
      <c r="Q34" s="53">
        <f t="shared" si="0"/>
        <v>163.1</v>
      </c>
      <c r="R34" s="20">
        <f t="shared" si="6"/>
        <v>12.099999999999994</v>
      </c>
      <c r="S34" s="42"/>
      <c r="T34" s="20">
        <v>14000</v>
      </c>
      <c r="U34" s="30">
        <f t="shared" si="1"/>
        <v>19469.589041095896</v>
      </c>
      <c r="V34" s="32">
        <f t="shared" si="8"/>
        <v>5569.3150684931479</v>
      </c>
    </row>
    <row r="35" spans="1:22" ht="30" customHeight="1" x14ac:dyDescent="0.15">
      <c r="A35" s="7" t="s">
        <v>59</v>
      </c>
      <c r="B35" s="7" t="s">
        <v>11</v>
      </c>
      <c r="C35" s="7" t="s">
        <v>63</v>
      </c>
      <c r="D35" s="9">
        <v>104</v>
      </c>
      <c r="E35" s="25">
        <v>40469</v>
      </c>
      <c r="F35" s="10">
        <v>41579</v>
      </c>
      <c r="G35" s="11">
        <f t="shared" si="2"/>
        <v>36</v>
      </c>
      <c r="H35" s="20">
        <v>2.0499999999999998</v>
      </c>
      <c r="I35" s="19">
        <f t="shared" si="3"/>
        <v>83.88</v>
      </c>
      <c r="J35" s="20">
        <v>74</v>
      </c>
      <c r="K35" s="20">
        <v>67.650000000000006</v>
      </c>
      <c r="L35" s="28">
        <f t="shared" si="4"/>
        <v>9.8799999999999955</v>
      </c>
      <c r="M35" s="20">
        <v>74</v>
      </c>
      <c r="N35" s="47">
        <f t="shared" ref="N35:N37" si="22">E35</f>
        <v>40469</v>
      </c>
      <c r="O35" s="41">
        <f t="shared" ref="O35:O37" si="23">DATEDIF(N35,F35,"m")</f>
        <v>36</v>
      </c>
      <c r="P35" s="41">
        <f t="shared" si="10"/>
        <v>83.88</v>
      </c>
      <c r="Q35" s="53">
        <f t="shared" si="0"/>
        <v>83.88</v>
      </c>
      <c r="R35" s="20">
        <f t="shared" si="6"/>
        <v>9.8799999999999955</v>
      </c>
      <c r="S35" s="20">
        <f t="shared" si="7"/>
        <v>0</v>
      </c>
      <c r="T35" s="20">
        <v>13000</v>
      </c>
      <c r="U35" s="30">
        <f t="shared" si="1"/>
        <v>4222.6849315068475</v>
      </c>
      <c r="V35" s="32">
        <f t="shared" si="8"/>
        <v>4222.6849315068475</v>
      </c>
    </row>
    <row r="36" spans="1:22" ht="30" customHeight="1" x14ac:dyDescent="0.15">
      <c r="A36" s="7" t="s">
        <v>59</v>
      </c>
      <c r="B36" s="7" t="s">
        <v>11</v>
      </c>
      <c r="C36" s="7" t="s">
        <v>142</v>
      </c>
      <c r="D36" s="9">
        <v>105</v>
      </c>
      <c r="E36" s="25">
        <v>40499</v>
      </c>
      <c r="F36" s="10">
        <v>41439</v>
      </c>
      <c r="G36" s="11">
        <f t="shared" si="2"/>
        <v>30</v>
      </c>
      <c r="H36" s="20"/>
      <c r="I36" s="19">
        <f t="shared" si="3"/>
        <v>69.900000000000006</v>
      </c>
      <c r="J36" s="20"/>
      <c r="K36" s="20"/>
      <c r="L36" s="28"/>
      <c r="M36" s="20"/>
      <c r="N36" s="47"/>
      <c r="O36" s="41"/>
      <c r="P36" s="41"/>
      <c r="Q36" s="53"/>
      <c r="R36" s="20"/>
      <c r="S36" s="20"/>
      <c r="T36" s="20"/>
      <c r="U36" s="30"/>
      <c r="V36" s="32"/>
    </row>
    <row r="37" spans="1:22" ht="30.75" customHeight="1" x14ac:dyDescent="0.15">
      <c r="A37" s="7" t="s">
        <v>59</v>
      </c>
      <c r="B37" s="7" t="s">
        <v>122</v>
      </c>
      <c r="C37" s="7"/>
      <c r="D37" s="9"/>
      <c r="E37" s="25"/>
      <c r="F37" s="10">
        <v>41579</v>
      </c>
      <c r="G37" s="11"/>
      <c r="H37" s="20"/>
      <c r="I37" s="19"/>
      <c r="J37" s="20"/>
      <c r="K37" s="20"/>
      <c r="L37" s="28"/>
      <c r="M37" s="20"/>
      <c r="N37" s="47">
        <f t="shared" si="22"/>
        <v>0</v>
      </c>
      <c r="O37" s="41">
        <f t="shared" si="23"/>
        <v>1366</v>
      </c>
      <c r="P37" s="41">
        <f>O37*2.33</f>
        <v>3182.78</v>
      </c>
      <c r="Q37" s="53"/>
      <c r="R37" s="20"/>
      <c r="S37" s="20">
        <f t="shared" si="7"/>
        <v>0</v>
      </c>
      <c r="T37" s="20">
        <v>13000</v>
      </c>
      <c r="U37" s="30">
        <f t="shared" si="1"/>
        <v>0</v>
      </c>
      <c r="V37" s="32">
        <f t="shared" si="8"/>
        <v>0</v>
      </c>
    </row>
    <row r="38" spans="1:22" ht="30.75" customHeight="1" x14ac:dyDescent="0.15">
      <c r="A38" s="7" t="s">
        <v>65</v>
      </c>
      <c r="B38" s="7" t="s">
        <v>66</v>
      </c>
      <c r="C38" s="7" t="s">
        <v>67</v>
      </c>
      <c r="D38" s="9">
        <v>31</v>
      </c>
      <c r="E38" s="25">
        <v>38727</v>
      </c>
      <c r="F38" s="10">
        <v>41579</v>
      </c>
      <c r="G38" s="11">
        <f t="shared" si="2"/>
        <v>93</v>
      </c>
      <c r="H38" s="20">
        <v>7.02</v>
      </c>
      <c r="I38" s="19">
        <f t="shared" si="3"/>
        <v>216.69</v>
      </c>
      <c r="J38" s="20">
        <v>178</v>
      </c>
      <c r="K38" s="20">
        <v>200.66</v>
      </c>
      <c r="L38" s="28">
        <f t="shared" si="4"/>
        <v>38.69</v>
      </c>
      <c r="M38" s="20">
        <v>125</v>
      </c>
      <c r="N38" s="49">
        <v>39448</v>
      </c>
      <c r="O38" s="41">
        <f>DATEDIF(N38,F38,"m")</f>
        <v>70</v>
      </c>
      <c r="P38" s="41">
        <f t="shared" si="10"/>
        <v>163.1</v>
      </c>
      <c r="Q38" s="53">
        <f t="shared" si="0"/>
        <v>163.1</v>
      </c>
      <c r="R38" s="20">
        <f t="shared" si="6"/>
        <v>38.099999999999994</v>
      </c>
      <c r="S38" s="42"/>
      <c r="T38" s="20">
        <v>18000</v>
      </c>
      <c r="U38" s="30">
        <f t="shared" si="1"/>
        <v>22896</v>
      </c>
      <c r="V38" s="32">
        <f t="shared" si="8"/>
        <v>22546.849315068492</v>
      </c>
    </row>
    <row r="39" spans="1:22" ht="30.75" customHeight="1" x14ac:dyDescent="0.15">
      <c r="A39" s="7" t="s">
        <v>65</v>
      </c>
      <c r="B39" s="7" t="s">
        <v>68</v>
      </c>
      <c r="C39" s="7" t="s">
        <v>69</v>
      </c>
      <c r="D39" s="9">
        <v>127</v>
      </c>
      <c r="E39" s="25">
        <v>40918</v>
      </c>
      <c r="F39" s="10">
        <v>41579</v>
      </c>
      <c r="G39" s="11">
        <f t="shared" si="2"/>
        <v>21</v>
      </c>
      <c r="H39" s="20">
        <v>1.02</v>
      </c>
      <c r="I39" s="19">
        <f t="shared" si="3"/>
        <v>48.93</v>
      </c>
      <c r="J39" s="20">
        <f>42+5</f>
        <v>47</v>
      </c>
      <c r="K39" s="20">
        <v>32.659999999999997</v>
      </c>
      <c r="L39" s="28">
        <f t="shared" si="4"/>
        <v>1.9299999999999997</v>
      </c>
      <c r="M39" s="20">
        <v>40</v>
      </c>
      <c r="N39" s="47">
        <f t="shared" ref="N39" si="24">E39</f>
        <v>40918</v>
      </c>
      <c r="O39" s="41">
        <f t="shared" ref="O39" si="25">DATEDIF(N39,F39,"m")</f>
        <v>21</v>
      </c>
      <c r="P39" s="41">
        <f t="shared" si="10"/>
        <v>48.93</v>
      </c>
      <c r="Q39" s="53">
        <f t="shared" si="0"/>
        <v>48.93</v>
      </c>
      <c r="R39" s="20">
        <f t="shared" si="6"/>
        <v>8.93</v>
      </c>
      <c r="S39" s="20">
        <f t="shared" si="7"/>
        <v>7</v>
      </c>
      <c r="T39" s="20">
        <v>12000</v>
      </c>
      <c r="U39" s="30">
        <f t="shared" si="1"/>
        <v>761.42465753424642</v>
      </c>
      <c r="V39" s="32">
        <f t="shared" si="8"/>
        <v>3523.0684931506848</v>
      </c>
    </row>
    <row r="40" spans="1:22" ht="30.75" customHeight="1" x14ac:dyDescent="0.15">
      <c r="A40" s="7" t="s">
        <v>65</v>
      </c>
      <c r="B40" s="7" t="s">
        <v>68</v>
      </c>
      <c r="C40" s="7" t="s">
        <v>70</v>
      </c>
      <c r="D40" s="9">
        <v>58</v>
      </c>
      <c r="E40" s="25">
        <v>39479</v>
      </c>
      <c r="F40" s="10">
        <v>41579</v>
      </c>
      <c r="G40" s="11">
        <f t="shared" si="2"/>
        <v>69</v>
      </c>
      <c r="H40" s="20">
        <v>5.0199999999999996</v>
      </c>
      <c r="I40" s="19">
        <f t="shared" si="3"/>
        <v>160.77000000000001</v>
      </c>
      <c r="J40" s="20">
        <f>153+14</f>
        <v>167</v>
      </c>
      <c r="K40" s="20">
        <v>144.66</v>
      </c>
      <c r="L40" s="28">
        <f t="shared" si="4"/>
        <v>-6.2299999999999898</v>
      </c>
      <c r="M40" s="20">
        <f>145+10+14</f>
        <v>169</v>
      </c>
      <c r="N40" s="49">
        <v>39448</v>
      </c>
      <c r="O40" s="41">
        <f>DATEDIF(E40,F40,"m")</f>
        <v>69</v>
      </c>
      <c r="P40" s="41">
        <f t="shared" si="10"/>
        <v>160.77000000000001</v>
      </c>
      <c r="Q40" s="53">
        <f t="shared" si="0"/>
        <v>160.77000000000001</v>
      </c>
      <c r="R40" s="20">
        <f t="shared" si="6"/>
        <v>-8.2299999999999898</v>
      </c>
      <c r="S40" s="20">
        <f t="shared" si="7"/>
        <v>-2</v>
      </c>
      <c r="T40" s="20">
        <v>12000</v>
      </c>
      <c r="U40" s="30">
        <f t="shared" si="1"/>
        <v>-2457.8630136986262</v>
      </c>
      <c r="V40" s="32">
        <f t="shared" si="8"/>
        <v>-3246.904109589037</v>
      </c>
    </row>
    <row r="41" spans="1:22" ht="30.75" customHeight="1" x14ac:dyDescent="0.15">
      <c r="A41" s="7" t="s">
        <v>65</v>
      </c>
      <c r="B41" s="7" t="s">
        <v>68</v>
      </c>
      <c r="C41" s="7" t="s">
        <v>71</v>
      </c>
      <c r="D41" s="9">
        <v>96</v>
      </c>
      <c r="E41" s="25">
        <v>40360</v>
      </c>
      <c r="F41" s="10">
        <v>41579</v>
      </c>
      <c r="G41" s="11">
        <f t="shared" si="2"/>
        <v>40</v>
      </c>
      <c r="H41" s="20">
        <v>2.09</v>
      </c>
      <c r="I41" s="19">
        <f t="shared" si="3"/>
        <v>93.2</v>
      </c>
      <c r="J41" s="20">
        <v>69</v>
      </c>
      <c r="K41" s="20">
        <v>76.97</v>
      </c>
      <c r="L41" s="28">
        <f t="shared" si="4"/>
        <v>24.200000000000003</v>
      </c>
      <c r="M41" s="20">
        <v>81</v>
      </c>
      <c r="N41" s="47">
        <f t="shared" ref="N41:N43" si="26">E41</f>
        <v>40360</v>
      </c>
      <c r="O41" s="41">
        <f t="shared" ref="O41:O43" si="27">DATEDIF(N41,F41,"m")</f>
        <v>40</v>
      </c>
      <c r="P41" s="41">
        <f t="shared" si="10"/>
        <v>93.2</v>
      </c>
      <c r="Q41" s="53">
        <f t="shared" si="0"/>
        <v>93.2</v>
      </c>
      <c r="R41" s="20">
        <f t="shared" si="6"/>
        <v>12.200000000000003</v>
      </c>
      <c r="S41" s="20">
        <f t="shared" si="7"/>
        <v>-12</v>
      </c>
      <c r="T41" s="20">
        <v>12000</v>
      </c>
      <c r="U41" s="30">
        <f t="shared" si="1"/>
        <v>9547.3972602739741</v>
      </c>
      <c r="V41" s="32">
        <f t="shared" si="8"/>
        <v>4813.1506849315074</v>
      </c>
    </row>
    <row r="42" spans="1:22" ht="30.75" customHeight="1" x14ac:dyDescent="0.15">
      <c r="A42" s="7" t="s">
        <v>65</v>
      </c>
      <c r="B42" s="7" t="s">
        <v>68</v>
      </c>
      <c r="C42" s="7" t="s">
        <v>72</v>
      </c>
      <c r="D42" s="9">
        <v>133</v>
      </c>
      <c r="E42" s="25">
        <v>41001</v>
      </c>
      <c r="F42" s="10">
        <v>41579</v>
      </c>
      <c r="G42" s="11">
        <f t="shared" si="2"/>
        <v>18</v>
      </c>
      <c r="H42" s="19">
        <v>1</v>
      </c>
      <c r="I42" s="19">
        <f t="shared" si="3"/>
        <v>41.94</v>
      </c>
      <c r="J42" s="20">
        <f>25+1</f>
        <v>26</v>
      </c>
      <c r="K42" s="20">
        <v>28</v>
      </c>
      <c r="L42" s="28">
        <f t="shared" si="4"/>
        <v>15.939999999999998</v>
      </c>
      <c r="M42" s="20">
        <f>31+1</f>
        <v>32</v>
      </c>
      <c r="N42" s="47">
        <f t="shared" si="26"/>
        <v>41001</v>
      </c>
      <c r="O42" s="41">
        <f t="shared" si="27"/>
        <v>18</v>
      </c>
      <c r="P42" s="41">
        <f t="shared" si="10"/>
        <v>41.94</v>
      </c>
      <c r="Q42" s="53">
        <f t="shared" si="0"/>
        <v>41.94</v>
      </c>
      <c r="R42" s="20">
        <f t="shared" si="6"/>
        <v>9.9399999999999977</v>
      </c>
      <c r="S42" s="20">
        <f t="shared" si="7"/>
        <v>-6</v>
      </c>
      <c r="T42" s="20">
        <v>12000</v>
      </c>
      <c r="U42" s="30">
        <f t="shared" si="1"/>
        <v>6288.657534246574</v>
      </c>
      <c r="V42" s="32">
        <f t="shared" si="8"/>
        <v>3921.5342465753415</v>
      </c>
    </row>
    <row r="43" spans="1:22" ht="30.75" customHeight="1" x14ac:dyDescent="0.15">
      <c r="A43" s="7" t="s">
        <v>65</v>
      </c>
      <c r="B43" s="7" t="s">
        <v>73</v>
      </c>
      <c r="C43" s="7" t="s">
        <v>74</v>
      </c>
      <c r="D43" s="9">
        <v>135</v>
      </c>
      <c r="E43" s="25">
        <v>41067</v>
      </c>
      <c r="F43" s="10">
        <v>41579</v>
      </c>
      <c r="G43" s="11">
        <f t="shared" si="2"/>
        <v>16</v>
      </c>
      <c r="H43" s="20">
        <v>0.09</v>
      </c>
      <c r="I43" s="19">
        <f t="shared" si="3"/>
        <v>37.28</v>
      </c>
      <c r="J43" s="20">
        <v>35</v>
      </c>
      <c r="K43" s="20">
        <v>20.97</v>
      </c>
      <c r="L43" s="28">
        <f t="shared" si="4"/>
        <v>2.2800000000000011</v>
      </c>
      <c r="M43" s="20">
        <v>42</v>
      </c>
      <c r="N43" s="47">
        <f t="shared" si="26"/>
        <v>41067</v>
      </c>
      <c r="O43" s="41">
        <f t="shared" si="27"/>
        <v>16</v>
      </c>
      <c r="P43" s="41">
        <f>O43*2.33</f>
        <v>37.28</v>
      </c>
      <c r="Q43" s="53">
        <f t="shared" si="0"/>
        <v>37.28</v>
      </c>
      <c r="R43" s="20">
        <f t="shared" si="6"/>
        <v>-4.7199999999999989</v>
      </c>
      <c r="S43" s="20">
        <f t="shared" si="7"/>
        <v>-7</v>
      </c>
      <c r="T43" s="20">
        <v>13000</v>
      </c>
      <c r="U43" s="30">
        <f t="shared" si="1"/>
        <v>974.46575342465803</v>
      </c>
      <c r="V43" s="32">
        <f t="shared" si="8"/>
        <v>-2017.3150684931502</v>
      </c>
    </row>
    <row r="44" spans="1:22" ht="30.75" customHeight="1" x14ac:dyDescent="0.15">
      <c r="A44" s="7" t="s">
        <v>65</v>
      </c>
      <c r="B44" s="7" t="s">
        <v>75</v>
      </c>
      <c r="C44" s="7" t="s">
        <v>76</v>
      </c>
      <c r="D44" s="9">
        <v>43</v>
      </c>
      <c r="E44" s="25">
        <v>39234</v>
      </c>
      <c r="F44" s="10">
        <v>41579</v>
      </c>
      <c r="G44" s="11">
        <f t="shared" si="2"/>
        <v>77</v>
      </c>
      <c r="H44" s="19">
        <v>5.0999999999999996</v>
      </c>
      <c r="I44" s="19">
        <f t="shared" si="3"/>
        <v>179.41</v>
      </c>
      <c r="J44" s="20">
        <f>155+1</f>
        <v>156</v>
      </c>
      <c r="K44" s="20">
        <v>163.30000000000001</v>
      </c>
      <c r="L44" s="28">
        <f t="shared" si="4"/>
        <v>23.409999999999997</v>
      </c>
      <c r="M44" s="20">
        <f>157+1</f>
        <v>158</v>
      </c>
      <c r="N44" s="49">
        <v>39448</v>
      </c>
      <c r="O44" s="41">
        <f>DATEDIF(N44,F44,"m")</f>
        <v>70</v>
      </c>
      <c r="P44" s="41">
        <f t="shared" si="10"/>
        <v>163.1</v>
      </c>
      <c r="Q44" s="53">
        <f t="shared" si="0"/>
        <v>163.1</v>
      </c>
      <c r="R44" s="20">
        <f t="shared" si="6"/>
        <v>5.0999999999999943</v>
      </c>
      <c r="S44" s="20">
        <f t="shared" si="7"/>
        <v>-2</v>
      </c>
      <c r="T44" s="20">
        <v>12000</v>
      </c>
      <c r="U44" s="30">
        <f t="shared" si="1"/>
        <v>9235.7260273972588</v>
      </c>
      <c r="V44" s="32">
        <f t="shared" si="8"/>
        <v>2012.0547945205456</v>
      </c>
    </row>
    <row r="45" spans="1:22" ht="30.75" customHeight="1" x14ac:dyDescent="0.15">
      <c r="A45" s="13" t="s">
        <v>77</v>
      </c>
      <c r="B45" s="17" t="s">
        <v>78</v>
      </c>
      <c r="C45" s="7" t="s">
        <v>79</v>
      </c>
      <c r="D45" s="9">
        <v>3</v>
      </c>
      <c r="E45" s="25">
        <v>37622</v>
      </c>
      <c r="F45" s="10">
        <v>41579</v>
      </c>
      <c r="G45" s="11">
        <f t="shared" si="2"/>
        <v>130</v>
      </c>
      <c r="H45" s="20">
        <v>10.029999999999999</v>
      </c>
      <c r="I45" s="19">
        <f t="shared" si="3"/>
        <v>302.90000000000003</v>
      </c>
      <c r="J45" s="20">
        <v>273</v>
      </c>
      <c r="K45" s="20">
        <v>286.99</v>
      </c>
      <c r="L45" s="28">
        <f t="shared" si="4"/>
        <v>29.900000000000034</v>
      </c>
      <c r="M45" s="20">
        <v>137</v>
      </c>
      <c r="N45" s="49">
        <v>39448</v>
      </c>
      <c r="O45" s="41">
        <f>DATEDIF(N45,F45,"m")</f>
        <v>70</v>
      </c>
      <c r="P45" s="41">
        <f t="shared" si="10"/>
        <v>163.1</v>
      </c>
      <c r="Q45" s="53">
        <f t="shared" si="0"/>
        <v>163.1</v>
      </c>
      <c r="R45" s="20">
        <f t="shared" si="6"/>
        <v>26.099999999999994</v>
      </c>
      <c r="S45" s="42"/>
      <c r="T45" s="20">
        <v>20000</v>
      </c>
      <c r="U45" s="30">
        <f t="shared" si="1"/>
        <v>19660.273972602761</v>
      </c>
      <c r="V45" s="32">
        <f t="shared" si="8"/>
        <v>17161.643835616433</v>
      </c>
    </row>
    <row r="46" spans="1:22" ht="30.75" customHeight="1" x14ac:dyDescent="0.15">
      <c r="A46" s="13" t="s">
        <v>77</v>
      </c>
      <c r="B46" s="22" t="s">
        <v>80</v>
      </c>
      <c r="C46" s="12" t="s">
        <v>81</v>
      </c>
      <c r="D46" s="9">
        <v>36</v>
      </c>
      <c r="E46" s="25">
        <v>38930</v>
      </c>
      <c r="F46" s="10">
        <v>41579</v>
      </c>
      <c r="G46" s="11">
        <f t="shared" si="2"/>
        <v>87</v>
      </c>
      <c r="H46" s="20">
        <v>6.08</v>
      </c>
      <c r="I46" s="19">
        <f t="shared" si="3"/>
        <v>202.71</v>
      </c>
      <c r="J46" s="20">
        <f>151+30</f>
        <v>181</v>
      </c>
      <c r="K46" s="20">
        <v>186.64</v>
      </c>
      <c r="L46" s="28">
        <f t="shared" si="4"/>
        <v>21.710000000000008</v>
      </c>
      <c r="M46" s="20">
        <f>144+12</f>
        <v>156</v>
      </c>
      <c r="N46" s="49">
        <v>39448</v>
      </c>
      <c r="O46" s="41">
        <f>DATEDIF(N46,F46,"m")</f>
        <v>70</v>
      </c>
      <c r="P46" s="41">
        <f t="shared" si="10"/>
        <v>163.1</v>
      </c>
      <c r="Q46" s="53">
        <f t="shared" si="0"/>
        <v>163.1</v>
      </c>
      <c r="R46" s="20">
        <f t="shared" si="6"/>
        <v>7.0999999999999943</v>
      </c>
      <c r="S46" s="42"/>
      <c r="T46" s="20">
        <v>13000</v>
      </c>
      <c r="U46" s="30">
        <f t="shared" si="1"/>
        <v>9278.7945205479482</v>
      </c>
      <c r="V46" s="32">
        <f t="shared" si="8"/>
        <v>3034.5205479452034</v>
      </c>
    </row>
    <row r="47" spans="1:22" ht="30.75" customHeight="1" x14ac:dyDescent="0.15">
      <c r="A47" s="13" t="s">
        <v>77</v>
      </c>
      <c r="B47" s="7" t="s">
        <v>80</v>
      </c>
      <c r="C47" s="7" t="s">
        <v>82</v>
      </c>
      <c r="D47" s="9">
        <v>63</v>
      </c>
      <c r="E47" s="25">
        <v>39572</v>
      </c>
      <c r="F47" s="10">
        <v>41579</v>
      </c>
      <c r="G47" s="11">
        <f t="shared" si="2"/>
        <v>65</v>
      </c>
      <c r="H47" s="19">
        <v>4.0999999999999996</v>
      </c>
      <c r="I47" s="19">
        <f t="shared" si="3"/>
        <v>151.45000000000002</v>
      </c>
      <c r="J47" s="20">
        <v>35</v>
      </c>
      <c r="K47" s="20">
        <v>135.30000000000001</v>
      </c>
      <c r="L47" s="28">
        <f t="shared" si="4"/>
        <v>116.45000000000002</v>
      </c>
      <c r="M47" s="20">
        <v>32</v>
      </c>
      <c r="N47" s="49">
        <v>39448</v>
      </c>
      <c r="O47" s="41">
        <f>DATEDIF(E47,F47,"m")</f>
        <v>65</v>
      </c>
      <c r="P47" s="41">
        <f t="shared" si="10"/>
        <v>151.45000000000002</v>
      </c>
      <c r="Q47" s="53">
        <f t="shared" si="0"/>
        <v>151.45000000000002</v>
      </c>
      <c r="R47" s="20">
        <f t="shared" si="6"/>
        <v>119.45000000000002</v>
      </c>
      <c r="S47" s="20">
        <f t="shared" si="7"/>
        <v>3</v>
      </c>
      <c r="T47" s="20">
        <v>13000</v>
      </c>
      <c r="U47" s="30">
        <f t="shared" si="1"/>
        <v>49770.410958904118</v>
      </c>
      <c r="V47" s="32">
        <f t="shared" si="8"/>
        <v>51052.602739726033</v>
      </c>
    </row>
    <row r="48" spans="1:22" ht="30.75" customHeight="1" x14ac:dyDescent="0.15">
      <c r="A48" s="13" t="s">
        <v>77</v>
      </c>
      <c r="B48" s="7" t="s">
        <v>80</v>
      </c>
      <c r="C48" s="7" t="s">
        <v>83</v>
      </c>
      <c r="D48" s="9">
        <v>144</v>
      </c>
      <c r="E48" s="25">
        <v>41183</v>
      </c>
      <c r="F48" s="10">
        <v>41579</v>
      </c>
      <c r="G48" s="11">
        <f t="shared" si="2"/>
        <v>13</v>
      </c>
      <c r="H48" s="20"/>
      <c r="I48" s="19">
        <f t="shared" si="3"/>
        <v>30.29</v>
      </c>
      <c r="J48" s="20">
        <v>14</v>
      </c>
      <c r="K48" s="20">
        <v>13.98</v>
      </c>
      <c r="L48" s="28">
        <f t="shared" si="4"/>
        <v>16.29</v>
      </c>
      <c r="M48" s="20">
        <v>14</v>
      </c>
      <c r="N48" s="47">
        <f t="shared" ref="N48:N49" si="28">E48</f>
        <v>41183</v>
      </c>
      <c r="O48" s="41">
        <f t="shared" ref="O48:O50" si="29">DATEDIF(N48,F48,"m")</f>
        <v>13</v>
      </c>
      <c r="P48" s="41">
        <f t="shared" si="10"/>
        <v>30.29</v>
      </c>
      <c r="Q48" s="53">
        <f t="shared" si="0"/>
        <v>30.29</v>
      </c>
      <c r="R48" s="20">
        <f t="shared" si="6"/>
        <v>16.29</v>
      </c>
      <c r="S48" s="20">
        <f t="shared" si="7"/>
        <v>0</v>
      </c>
      <c r="T48" s="20">
        <v>13000</v>
      </c>
      <c r="U48" s="30">
        <f t="shared" si="1"/>
        <v>6962.3013698630139</v>
      </c>
      <c r="V48" s="32">
        <f t="shared" si="8"/>
        <v>6962.3013698630139</v>
      </c>
    </row>
    <row r="49" spans="1:22" ht="30.75" customHeight="1" x14ac:dyDescent="0.15">
      <c r="A49" s="13" t="s">
        <v>77</v>
      </c>
      <c r="B49" s="7" t="s">
        <v>80</v>
      </c>
      <c r="C49" s="7" t="s">
        <v>84</v>
      </c>
      <c r="D49" s="9">
        <v>145</v>
      </c>
      <c r="E49" s="25">
        <v>41183</v>
      </c>
      <c r="F49" s="10">
        <v>41579</v>
      </c>
      <c r="G49" s="11">
        <f t="shared" si="2"/>
        <v>13</v>
      </c>
      <c r="H49" s="20"/>
      <c r="I49" s="19">
        <f t="shared" si="3"/>
        <v>30.29</v>
      </c>
      <c r="J49" s="20">
        <f>7+4</f>
        <v>11</v>
      </c>
      <c r="K49" s="20">
        <v>13.98</v>
      </c>
      <c r="L49" s="28">
        <f t="shared" si="4"/>
        <v>19.29</v>
      </c>
      <c r="M49" s="20">
        <f>7+4</f>
        <v>11</v>
      </c>
      <c r="N49" s="47">
        <f t="shared" si="28"/>
        <v>41183</v>
      </c>
      <c r="O49" s="41">
        <f t="shared" si="29"/>
        <v>13</v>
      </c>
      <c r="P49" s="41">
        <f>O49*2.33</f>
        <v>30.29</v>
      </c>
      <c r="Q49" s="53">
        <f t="shared" si="0"/>
        <v>30.29</v>
      </c>
      <c r="R49" s="20">
        <f t="shared" si="6"/>
        <v>19.29</v>
      </c>
      <c r="S49" s="20">
        <f t="shared" si="7"/>
        <v>0</v>
      </c>
      <c r="T49" s="20">
        <v>13000</v>
      </c>
      <c r="U49" s="30">
        <f t="shared" si="1"/>
        <v>8244.4931506849316</v>
      </c>
      <c r="V49" s="32">
        <f t="shared" si="8"/>
        <v>8244.4931506849316</v>
      </c>
    </row>
    <row r="50" spans="1:22" ht="30.75" customHeight="1" x14ac:dyDescent="0.15">
      <c r="A50" s="13" t="s">
        <v>77</v>
      </c>
      <c r="B50" s="7" t="s">
        <v>80</v>
      </c>
      <c r="C50" s="7" t="s">
        <v>132</v>
      </c>
      <c r="D50" s="9"/>
      <c r="E50" s="25">
        <v>41429</v>
      </c>
      <c r="F50" s="10">
        <v>41579</v>
      </c>
      <c r="G50" s="11">
        <f t="shared" si="2"/>
        <v>4</v>
      </c>
      <c r="H50" s="20"/>
      <c r="I50" s="19">
        <f t="shared" si="3"/>
        <v>9.32</v>
      </c>
      <c r="J50" s="20">
        <v>0</v>
      </c>
      <c r="K50" s="20">
        <v>13.98</v>
      </c>
      <c r="L50" s="28">
        <f t="shared" si="4"/>
        <v>9.32</v>
      </c>
      <c r="M50" s="20">
        <v>0</v>
      </c>
      <c r="N50" s="49">
        <v>41429</v>
      </c>
      <c r="O50" s="41">
        <f t="shared" si="29"/>
        <v>4</v>
      </c>
      <c r="P50" s="41">
        <f>O50*2.33</f>
        <v>9.32</v>
      </c>
      <c r="Q50" s="53">
        <f t="shared" si="0"/>
        <v>9.32</v>
      </c>
      <c r="R50" s="20">
        <f t="shared" si="6"/>
        <v>9.32</v>
      </c>
      <c r="S50" s="20">
        <f t="shared" si="7"/>
        <v>0</v>
      </c>
      <c r="T50" s="20">
        <v>12000</v>
      </c>
      <c r="U50" s="30">
        <f t="shared" si="1"/>
        <v>3676.9315068493152</v>
      </c>
      <c r="V50" s="32">
        <f t="shared" si="8"/>
        <v>3676.9315068493152</v>
      </c>
    </row>
    <row r="51" spans="1:22" ht="30.75" customHeight="1" x14ac:dyDescent="0.15">
      <c r="A51" s="13" t="s">
        <v>77</v>
      </c>
      <c r="B51" s="7" t="s">
        <v>80</v>
      </c>
      <c r="C51" s="7" t="s">
        <v>129</v>
      </c>
      <c r="D51" s="9"/>
      <c r="E51" s="25">
        <v>41365</v>
      </c>
      <c r="F51" s="10">
        <v>41579</v>
      </c>
      <c r="G51" s="11">
        <f t="shared" si="2"/>
        <v>7</v>
      </c>
      <c r="H51" s="20"/>
      <c r="I51" s="19">
        <f t="shared" si="3"/>
        <v>16.310000000000002</v>
      </c>
      <c r="J51" s="20">
        <v>0</v>
      </c>
      <c r="K51" s="20">
        <v>135.30000000000001</v>
      </c>
      <c r="L51" s="28">
        <f t="shared" si="4"/>
        <v>16.310000000000002</v>
      </c>
      <c r="M51" s="20">
        <v>0</v>
      </c>
      <c r="N51" s="47">
        <f t="shared" ref="N51:N54" si="30">E51</f>
        <v>41365</v>
      </c>
      <c r="O51" s="41">
        <f t="shared" ref="O51" si="31">DATEDIF(E51,F51,"m")</f>
        <v>7</v>
      </c>
      <c r="P51" s="41">
        <f t="shared" si="10"/>
        <v>16.310000000000002</v>
      </c>
      <c r="Q51" s="53">
        <f t="shared" si="0"/>
        <v>16.310000000000002</v>
      </c>
      <c r="R51" s="20">
        <f t="shared" si="6"/>
        <v>16.310000000000002</v>
      </c>
      <c r="S51" s="20">
        <f t="shared" si="7"/>
        <v>0</v>
      </c>
      <c r="T51" s="20">
        <v>13000</v>
      </c>
      <c r="U51" s="30">
        <f t="shared" si="1"/>
        <v>6970.8493150684944</v>
      </c>
      <c r="V51" s="32">
        <f t="shared" si="8"/>
        <v>6970.8493150684944</v>
      </c>
    </row>
    <row r="52" spans="1:22" ht="30.75" customHeight="1" x14ac:dyDescent="0.15">
      <c r="A52" s="13" t="s">
        <v>37</v>
      </c>
      <c r="B52" s="7" t="s">
        <v>122</v>
      </c>
      <c r="C52" s="7" t="s">
        <v>131</v>
      </c>
      <c r="D52" s="9"/>
      <c r="E52" s="26">
        <v>41393</v>
      </c>
      <c r="F52" s="10">
        <v>41579</v>
      </c>
      <c r="G52" s="11">
        <f t="shared" si="2"/>
        <v>6</v>
      </c>
      <c r="H52" s="20"/>
      <c r="I52" s="19">
        <f t="shared" si="3"/>
        <v>13.98</v>
      </c>
      <c r="J52" s="20">
        <f>1</f>
        <v>1</v>
      </c>
      <c r="K52" s="20">
        <v>4.66</v>
      </c>
      <c r="L52" s="28">
        <f t="shared" si="4"/>
        <v>12.98</v>
      </c>
      <c r="M52" s="20">
        <f>1</f>
        <v>1</v>
      </c>
      <c r="N52" s="47">
        <f t="shared" si="30"/>
        <v>41393</v>
      </c>
      <c r="O52" s="41">
        <f t="shared" ref="O52:O55" si="32">DATEDIF(N52,F52,"m")</f>
        <v>6</v>
      </c>
      <c r="P52" s="41">
        <f t="shared" si="10"/>
        <v>13.98</v>
      </c>
      <c r="Q52" s="53">
        <f t="shared" si="0"/>
        <v>13.98</v>
      </c>
      <c r="R52" s="20">
        <f t="shared" si="6"/>
        <v>12.98</v>
      </c>
      <c r="S52" s="20">
        <f t="shared" si="7"/>
        <v>0</v>
      </c>
      <c r="T52" s="20">
        <v>13000</v>
      </c>
      <c r="U52" s="30">
        <f t="shared" si="1"/>
        <v>5547.6164383561645</v>
      </c>
      <c r="V52" s="32">
        <f t="shared" si="8"/>
        <v>5547.6164383561645</v>
      </c>
    </row>
    <row r="53" spans="1:22" ht="30.75" customHeight="1" x14ac:dyDescent="0.15">
      <c r="A53" s="17"/>
      <c r="B53" s="65"/>
      <c r="C53" s="15" t="s">
        <v>133</v>
      </c>
      <c r="D53" s="66"/>
      <c r="E53" s="26">
        <v>41456</v>
      </c>
      <c r="F53" s="10">
        <v>41579</v>
      </c>
      <c r="G53" s="67">
        <f t="shared" si="2"/>
        <v>4</v>
      </c>
      <c r="H53" s="20"/>
      <c r="I53" s="19">
        <f t="shared" si="3"/>
        <v>9.32</v>
      </c>
      <c r="J53" s="20">
        <v>1</v>
      </c>
      <c r="K53" s="20"/>
      <c r="L53" s="28">
        <f t="shared" si="4"/>
        <v>8.32</v>
      </c>
      <c r="M53" s="20">
        <v>1</v>
      </c>
      <c r="N53" s="47">
        <f t="shared" si="30"/>
        <v>41456</v>
      </c>
      <c r="O53" s="41">
        <f t="shared" si="32"/>
        <v>4</v>
      </c>
      <c r="P53" s="41">
        <f t="shared" si="10"/>
        <v>9.32</v>
      </c>
      <c r="Q53" s="53">
        <f t="shared" si="0"/>
        <v>9.32</v>
      </c>
      <c r="R53" s="20">
        <f t="shared" si="6"/>
        <v>8.32</v>
      </c>
      <c r="S53" s="20">
        <f t="shared" si="7"/>
        <v>0</v>
      </c>
      <c r="T53" s="20">
        <v>13000</v>
      </c>
      <c r="U53" s="30">
        <f t="shared" si="1"/>
        <v>3555.9452054794524</v>
      </c>
      <c r="V53" s="32">
        <f t="shared" si="8"/>
        <v>3555.9452054794524</v>
      </c>
    </row>
    <row r="54" spans="1:22" ht="30.75" customHeight="1" x14ac:dyDescent="0.15">
      <c r="A54" s="17"/>
      <c r="B54" s="65"/>
      <c r="C54" s="15"/>
      <c r="D54" s="66"/>
      <c r="E54" s="26"/>
      <c r="F54" s="10">
        <v>41579</v>
      </c>
      <c r="G54" s="67"/>
      <c r="H54" s="20"/>
      <c r="I54" s="19"/>
      <c r="J54" s="20"/>
      <c r="K54" s="20"/>
      <c r="L54" s="28"/>
      <c r="M54" s="20"/>
      <c r="N54" s="47">
        <f t="shared" si="30"/>
        <v>0</v>
      </c>
      <c r="O54" s="41">
        <f t="shared" si="32"/>
        <v>1366</v>
      </c>
      <c r="P54" s="41">
        <f t="shared" si="10"/>
        <v>3182.78</v>
      </c>
      <c r="Q54" s="53"/>
      <c r="R54" s="20"/>
      <c r="S54" s="20"/>
      <c r="T54" s="20"/>
      <c r="U54" s="30"/>
      <c r="V54" s="32"/>
    </row>
    <row r="55" spans="1:22" ht="30.75" customHeight="1" x14ac:dyDescent="0.15">
      <c r="A55" s="17"/>
      <c r="B55" s="65"/>
      <c r="C55" s="15" t="s">
        <v>138</v>
      </c>
      <c r="D55" s="66"/>
      <c r="E55" s="26">
        <v>41477</v>
      </c>
      <c r="F55" s="10">
        <v>41579</v>
      </c>
      <c r="G55" s="67">
        <f t="shared" si="2"/>
        <v>3</v>
      </c>
      <c r="H55" s="20"/>
      <c r="I55" s="19">
        <f t="shared" si="3"/>
        <v>6.99</v>
      </c>
      <c r="J55" s="20">
        <v>0</v>
      </c>
      <c r="K55" s="20"/>
      <c r="L55" s="28">
        <f t="shared" si="4"/>
        <v>6.99</v>
      </c>
      <c r="M55" s="20">
        <v>0</v>
      </c>
      <c r="N55" s="47">
        <v>41477</v>
      </c>
      <c r="O55" s="41">
        <f t="shared" si="32"/>
        <v>3</v>
      </c>
      <c r="P55" s="41">
        <f t="shared" si="10"/>
        <v>6.99</v>
      </c>
      <c r="Q55" s="53">
        <f t="shared" si="0"/>
        <v>6.99</v>
      </c>
      <c r="R55" s="20">
        <f t="shared" si="6"/>
        <v>6.99</v>
      </c>
      <c r="S55" s="20">
        <f t="shared" si="7"/>
        <v>0</v>
      </c>
      <c r="T55" s="20">
        <v>13000</v>
      </c>
      <c r="U55" s="30">
        <f t="shared" si="1"/>
        <v>2987.5068493150688</v>
      </c>
      <c r="V55" s="32">
        <f t="shared" si="8"/>
        <v>2987.5068493150688</v>
      </c>
    </row>
    <row r="56" spans="1:22" ht="30.75" customHeight="1" x14ac:dyDescent="0.15">
      <c r="A56" s="17"/>
      <c r="B56" s="65"/>
      <c r="C56" s="15" t="s">
        <v>139</v>
      </c>
      <c r="D56" s="66"/>
      <c r="E56" s="26">
        <v>41498</v>
      </c>
      <c r="F56" s="10">
        <v>41579</v>
      </c>
      <c r="G56" s="67">
        <f t="shared" si="2"/>
        <v>2</v>
      </c>
      <c r="H56" s="20"/>
      <c r="I56" s="19">
        <f t="shared" si="3"/>
        <v>4.66</v>
      </c>
      <c r="J56" s="20"/>
      <c r="K56" s="20"/>
      <c r="L56" s="28">
        <f t="shared" si="4"/>
        <v>4.66</v>
      </c>
      <c r="M56" s="20"/>
      <c r="N56" s="47">
        <v>41478</v>
      </c>
      <c r="O56" s="41"/>
      <c r="P56" s="41">
        <f t="shared" si="10"/>
        <v>0</v>
      </c>
      <c r="Q56" s="53">
        <f t="shared" si="0"/>
        <v>0</v>
      </c>
      <c r="R56" s="20">
        <f t="shared" si="6"/>
        <v>0</v>
      </c>
      <c r="S56" s="20"/>
      <c r="T56" s="20">
        <v>13000</v>
      </c>
      <c r="U56" s="30">
        <f t="shared" si="1"/>
        <v>1991.6712328767126</v>
      </c>
      <c r="V56" s="32">
        <f t="shared" si="8"/>
        <v>0</v>
      </c>
    </row>
    <row r="57" spans="1:22" ht="30.75" customHeight="1" x14ac:dyDescent="0.15">
      <c r="A57" s="17"/>
      <c r="B57" s="65"/>
      <c r="C57" s="15" t="s">
        <v>140</v>
      </c>
      <c r="D57" s="66"/>
      <c r="E57" s="26">
        <v>41548</v>
      </c>
      <c r="F57" s="10">
        <v>41579</v>
      </c>
      <c r="G57" s="67">
        <f t="shared" si="2"/>
        <v>1</v>
      </c>
      <c r="H57" s="20"/>
      <c r="I57" s="19">
        <f t="shared" si="3"/>
        <v>2.33</v>
      </c>
      <c r="J57" s="20"/>
      <c r="K57" s="20"/>
      <c r="L57" s="28">
        <f t="shared" si="4"/>
        <v>2.33</v>
      </c>
      <c r="M57" s="20"/>
      <c r="N57" s="47">
        <v>41479</v>
      </c>
      <c r="O57" s="41"/>
      <c r="P57" s="41">
        <f t="shared" si="10"/>
        <v>0</v>
      </c>
      <c r="Q57" s="53">
        <f t="shared" si="0"/>
        <v>0</v>
      </c>
      <c r="R57" s="20">
        <f t="shared" si="6"/>
        <v>0</v>
      </c>
      <c r="S57" s="20"/>
      <c r="T57" s="20">
        <v>13000</v>
      </c>
      <c r="U57" s="30">
        <f t="shared" si="1"/>
        <v>995.83561643835628</v>
      </c>
      <c r="V57" s="32">
        <f t="shared" si="8"/>
        <v>0</v>
      </c>
    </row>
    <row r="58" spans="1:22" ht="30.75" customHeight="1" x14ac:dyDescent="0.15">
      <c r="A58" s="17"/>
      <c r="C58" s="15" t="s">
        <v>141</v>
      </c>
      <c r="D58" s="66"/>
      <c r="E58" s="26">
        <v>41561</v>
      </c>
      <c r="F58" s="10">
        <v>41579</v>
      </c>
      <c r="G58" s="67">
        <f t="shared" si="2"/>
        <v>0</v>
      </c>
      <c r="H58" s="20"/>
      <c r="I58" s="19">
        <f t="shared" si="3"/>
        <v>0</v>
      </c>
      <c r="J58" s="20"/>
      <c r="K58" s="20"/>
      <c r="L58" s="28">
        <f t="shared" si="4"/>
        <v>0</v>
      </c>
      <c r="M58" s="20"/>
      <c r="N58" s="47">
        <v>41480</v>
      </c>
      <c r="O58" s="41"/>
      <c r="P58" s="41">
        <f t="shared" si="10"/>
        <v>0</v>
      </c>
      <c r="Q58" s="53">
        <f t="shared" si="0"/>
        <v>0</v>
      </c>
      <c r="R58" s="20">
        <f t="shared" si="6"/>
        <v>0</v>
      </c>
      <c r="S58" s="20"/>
      <c r="T58" s="20">
        <v>13000</v>
      </c>
      <c r="U58" s="30">
        <f t="shared" si="1"/>
        <v>0</v>
      </c>
      <c r="V58" s="32">
        <f t="shared" si="8"/>
        <v>0</v>
      </c>
    </row>
    <row r="59" spans="1:22" ht="30.75" customHeight="1" x14ac:dyDescent="0.15">
      <c r="C59" s="65"/>
      <c r="D59" s="63"/>
      <c r="E59" s="64"/>
      <c r="F59" s="68"/>
      <c r="G59" s="23"/>
      <c r="H59" s="23"/>
      <c r="I59" s="23"/>
      <c r="J59" s="23"/>
      <c r="K59" s="23"/>
      <c r="L59" s="27">
        <f>SUBTOTAL(9,L2:L52)</f>
        <v>1113.3599999999999</v>
      </c>
      <c r="M59" s="23"/>
      <c r="N59" s="48"/>
      <c r="O59" s="48"/>
      <c r="P59" s="48"/>
      <c r="Q59" s="54"/>
      <c r="R59" s="27">
        <f>SUBTOTAL(9,R2:R54)</f>
        <v>858.47000000000037</v>
      </c>
      <c r="S59" s="23"/>
      <c r="T59" s="59">
        <f>SUM(T2:T58)</f>
        <v>722000</v>
      </c>
      <c r="U59" s="60">
        <f>SUM(U2:U58)</f>
        <v>632093.26027397253</v>
      </c>
      <c r="V59" s="58">
        <f>SUM(V2:V58)</f>
        <v>444301.80821917817</v>
      </c>
    </row>
    <row r="60" spans="1:22" ht="30.75" customHeight="1" x14ac:dyDescent="0.15">
      <c r="C60" s="65"/>
      <c r="D60" s="63"/>
      <c r="E60" s="64"/>
      <c r="F60" s="68"/>
    </row>
    <row r="61" spans="1:22" ht="30.75" customHeight="1" x14ac:dyDescent="0.15">
      <c r="C61" s="65"/>
      <c r="E61" s="62"/>
      <c r="F61" s="68"/>
    </row>
    <row r="62" spans="1:22" ht="30.75" customHeight="1" x14ac:dyDescent="0.15">
      <c r="E62" s="27"/>
      <c r="F62" s="23"/>
    </row>
  </sheetData>
  <autoFilter ref="A1:V58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31.03.2013</vt:lpstr>
      <vt:lpstr>УК</vt:lpstr>
      <vt:lpstr>30.04.2013</vt:lpstr>
      <vt:lpstr>31.05.2013</vt:lpstr>
      <vt:lpstr>30.06.2013</vt:lpstr>
      <vt:lpstr>31.07.2013</vt:lpstr>
      <vt:lpstr>31.08.2013</vt:lpstr>
      <vt:lpstr>30.09.2013</vt:lpstr>
      <vt:lpstr>31.10.2013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Немешева</dc:creator>
  <cp:lastModifiedBy>Немешева</cp:lastModifiedBy>
  <dcterms:created xsi:type="dcterms:W3CDTF">2013-03-11T06:32:32Z</dcterms:created>
  <dcterms:modified xsi:type="dcterms:W3CDTF">2013-11-14T06:36:53Z</dcterms:modified>
</cp:coreProperties>
</file>